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iambeautiful60\Downloads\"/>
    </mc:Choice>
  </mc:AlternateContent>
  <xr:revisionPtr revIDLastSave="0" documentId="8_{35414E74-49F7-4A7E-9D1F-DD073F5F02A1}" xr6:coauthVersionLast="45" xr6:coauthVersionMax="45" xr10:uidLastSave="{00000000-0000-0000-0000-000000000000}"/>
  <bookViews>
    <workbookView xWindow="-120" yWindow="-120" windowWidth="24240" windowHeight="13140"/>
  </bookViews>
  <sheets>
    <sheet name="auctions (45)" sheetId="1" r:id="rId1"/>
  </sheets>
  <calcPr calcId="0"/>
</workbook>
</file>

<file path=xl/calcChain.xml><?xml version="1.0" encoding="utf-8"?>
<calcChain xmlns="http://schemas.openxmlformats.org/spreadsheetml/2006/main">
  <c r="C2" i="1" l="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alcChain>
</file>

<file path=xl/sharedStrings.xml><?xml version="1.0" encoding="utf-8"?>
<sst xmlns="http://schemas.openxmlformats.org/spreadsheetml/2006/main" count="3952" uniqueCount="2193">
  <si>
    <t>AUCTION TYPE</t>
  </si>
  <si>
    <t>TAX AUTHORITY NAME</t>
  </si>
  <si>
    <t>ACCOUNT NUMBER</t>
  </si>
  <si>
    <t>PROPERTY ADDRESS</t>
  </si>
  <si>
    <t>LEGAL DESCRIPTION</t>
  </si>
  <si>
    <t>OWNER NAME</t>
  </si>
  <si>
    <t>OWNER ADDRESS</t>
  </si>
  <si>
    <t>PRICE</t>
  </si>
  <si>
    <t>AUCTION START DATE</t>
  </si>
  <si>
    <t>AUCTION END DATE</t>
  </si>
  <si>
    <t>URL</t>
  </si>
  <si>
    <t>Investment</t>
  </si>
  <si>
    <t>City of New Iberia</t>
  </si>
  <si>
    <t>301 Dore Aly, LA</t>
  </si>
  <si>
    <t>UNDIVIDED INTEREST OF : 100% IN: 1-67 X 50 DORE ALLEY, LOT 10, PART LOT 11, LOT 6. BEING W/2 LOT 11, BLK H, ARMENTOR SUB. IMP (301 DORE ALLEY) ACQ: SUCC ALCIDE GUILLORY - 1995 (1090-333) SOLD TO THE CITY FOR 1991 CITY TAXES - 1992 (1037-450) SOLD TO THE CITY FOR 1992 CITY TAXES - 1993 (1059-651) SOLD TO CITY OF N.I. FOR 1994 CITY TAXES - 1995 (1096-536) UNDER THE NAME ALCIDE GUILLORY. SOLD TO CITY OF N.I. FOR 1995 CITY TAXES - 1996 (1119-831) IN NAME OF ALCIDE GUILLORY. SOLD TO CITY OF N.I. FOR 1996 CITY TAXES - 1997 (1142-305) SOLD TO CITY OF N.I. FOR 1998 CITY TAXES - 1999 (1179-456)</t>
  </si>
  <si>
    <t>JUDY ANN BROUSSARD</t>
  </si>
  <si>
    <t>320 Lombard St, New Iberia, LA 70560</t>
  </si>
  <si>
    <t>https://www.civicsource.com/CNI9946</t>
  </si>
  <si>
    <t>133 Reynolds St, LA</t>
  </si>
  <si>
    <t>UNDIVIDED INTEREST OF : 100% IN: 1-73 X 60 REYNOLDS ST., PART LOT 3, PART LOT 4, WALTON ST BEING THE N-HALF LOT 3, BLK A, REYNOLDS SUB IMP (133 REYNOLDS ST) ACQ: ASMA M ALDAOUD THRU DONATION - 2014 (1572-402)</t>
  </si>
  <si>
    <t>YASMEN ADEL MALAHMEH</t>
  </si>
  <si>
    <t>Po Box 13632, New Iberia, LA 70562</t>
  </si>
  <si>
    <t>https://www.civicsource.com/CNI9791</t>
  </si>
  <si>
    <t>411 Brian St, LA</t>
  </si>
  <si>
    <t>UNDIVIDED INTEREST OF : 100% IN: 1- 70 X 120/121 LOT 21, LOT 19, ACKAL, COLGIN ST BEING LOT 20, COLGIN SUB ACQ: ALLEN P MCDONALD THRU DONATION - 2010 (1467-318)</t>
  </si>
  <si>
    <t>COLLEEN MCDONALD BAYARD</t>
  </si>
  <si>
    <t>Po Box 11842, New Iberia, LA 70562</t>
  </si>
  <si>
    <t>https://www.civicsource.com/CNI10478</t>
  </si>
  <si>
    <t>942 Lynn Circle Dr, LA</t>
  </si>
  <si>
    <t>UNDIVIDED INTEREST OF : 100% IN: 1 - 60 X 124/123 LOT 22, LOT 24, LYNN CIRCLE DR, BADEAUX BEING LOT 23, BLK 3, CLETUS LANDRY SUB PART I IMP (M/H 942 LYNN CIRCLE) ACQ: PHOUKHONG RACHAPHOUMY - 2000 (1206-251) SER# TW1ALS16973 TAG #HWC059589</t>
  </si>
  <si>
    <t>KHAO CHOUNXAYMEUAMGDY</t>
  </si>
  <si>
    <t>942 Lynn Circle Dr, New Iberia, LA 70560</t>
  </si>
  <si>
    <t>https://www.civicsource.com/CNI10005</t>
  </si>
  <si>
    <t>510 W St Peter St, LA</t>
  </si>
  <si>
    <t>UNDIVIDED INTEREST OF : 100% IN: 1-101 X 96 BERTRAND, W ST PETER ST, CORINNE ST, WALET. ACQ: RAYMOND L MARIE ETAL THRU PARTIAL PARTITION - 1996 (1126-490)</t>
  </si>
  <si>
    <t>MAUREEN R MARIE</t>
  </si>
  <si>
    <t>1608 Elm St, New Iberia, LA 70560</t>
  </si>
  <si>
    <t>https://www.civicsource.com/CNI10496</t>
  </si>
  <si>
    <t>705 Jane St, LA</t>
  </si>
  <si>
    <t>UNDIVIDED INTEREST OF : 100% IN: 1-76/40 X 120/93 JUSTELIEN, LOT 7, JANE STREET, BERNARD BEING LOT 6 BLK 153 CITY MAP IMP. (705 JANE STREET) ACQ: TIMOTHY DALY- 2001 (1229-957) PLAT - 2009 (1432-215)</t>
  </si>
  <si>
    <t>BAYOU CONCRETE GARDENS, INC</t>
  </si>
  <si>
    <t>600 Jane St, New Iberia, LA 70560</t>
  </si>
  <si>
    <t>https://www.civicsource.com/CNI10050</t>
  </si>
  <si>
    <t>630 Robertson St, LA</t>
  </si>
  <si>
    <t>UNDIVIDED INTEREST OF : 100% IN: 1- 50 X 150 LOT 5, ROBERTSON ST., LOT 9, LOT 7 BEING LOT 8. IMP (630 ROBERTSON ST) ACQ: SUCC OF DELIA *SIMON* LEE - 1995 (1099-463)</t>
  </si>
  <si>
    <t>FANNIE H BARNES</t>
  </si>
  <si>
    <t>911 South Main Street, Jennings, LA 70546</t>
  </si>
  <si>
    <t>https://www.civicsource.com/CNI9849</t>
  </si>
  <si>
    <t>213 Colgin St, LA</t>
  </si>
  <si>
    <t>UNDIVIDED INTEREST OF : 100% IN: 1-68/60 X 114 VIATOR, LOT 11, TWIN CIRCLE SUB, COLGIN ST BEING LOT 10, COLGIN STREET ADDITON MOBILE HOME (213 COLGIN ST) SER# KB02261607 ACQ: DAWN DUHON ETALS - 2015 (1599-934)</t>
  </si>
  <si>
    <t>GARY BARTON STILES JR</t>
  </si>
  <si>
    <t>5903 Hwy 14, New Iberia, LA 70560</t>
  </si>
  <si>
    <t>https://www.civicsource.com/CNI10149</t>
  </si>
  <si>
    <t>941 Lynn Circle Dr, LA</t>
  </si>
  <si>
    <t>UNDIVIDED INTEREST OF : 100% IN: 1-60 X 110 LOT 11, LOT 13, LOT 4, LYNN CIRCLE DR BEING LOT 12, BLK 4, CLETUS LANDRY SUB #1 ACQ: BOUNGLOP KITTIRAJ - 2006 (1350-901) IMP (941 LYNN CIR) SER #SSDAL460184)</t>
  </si>
  <si>
    <t>KHENG BOUNMA</t>
  </si>
  <si>
    <t>941 Lynn Circle, New Iberia, LA 70560</t>
  </si>
  <si>
    <t>https://www.civicsource.com/CNI10362</t>
  </si>
  <si>
    <t>308 Moroco Aly, LA</t>
  </si>
  <si>
    <t>UNDIVIDED INTEREST OF : 100% IN: 1-54 X 78.9 LOT 2, NELSON, ROULY, WANA ST. BEING PART LOT 1, BLK. 6, FRERE ADD. IMP. (304 MOROCO ALY) ITEM 1 IMP. (308 MOROCO ALY) ITEM 3 ACQ: DORITA L.NICHOLAS -1964</t>
  </si>
  <si>
    <t>ALFRED P NELSON SR</t>
  </si>
  <si>
    <t>922 French Street, New Iberia, LA 70560</t>
  </si>
  <si>
    <t>https://www.civicsource.com/CNI10594</t>
  </si>
  <si>
    <t>615 Rosalie St, LA</t>
  </si>
  <si>
    <t>UNDIVIDED INTEREST OF : 100% IN: 1- 50 X 79 LOT 3, LOT 1, KRAMER, ROSALIE ST BEING LOT 2, BLK. 1, L P OLIVIER IMP (615 ROSALIE ST) ACQ: NORVELEE B MESTAYER - 2012 (1514-463)</t>
  </si>
  <si>
    <t>TONY ST JULIEN</t>
  </si>
  <si>
    <t>5710 Hwy 14, New Iberia, LA 70560</t>
  </si>
  <si>
    <t>https://www.civicsource.com/CNI9989</t>
  </si>
  <si>
    <t>603 Exey Dr, LA</t>
  </si>
  <si>
    <t>UNDIVIDED INTEREST OF : 100% IN: 1-60 X 153/154 BROUSSARD, EXEY DR, LOT 28, LOT 30 BEING LOT 29, EXEY SUB IMP (M/H - 603 EXEY DR) SER #MSB971680SN27639 ACQ: IMMOBILIZATION - 2002 (1233-872) ACQ: ROY E STEELE AND ARMINE BROUSSARD STEELE - 2011 (1493-413)</t>
  </si>
  <si>
    <t>ANGELA BROUSSARD NELSON</t>
  </si>
  <si>
    <t>603 Exey Dr, New Iberia, LA 70563</t>
  </si>
  <si>
    <t>https://www.civicsource.com/CNI10946</t>
  </si>
  <si>
    <t>1503 Rogers St, LA</t>
  </si>
  <si>
    <t>UNDIVIDED INTEREST OF : 100% IN: 1-150 X 120 ROGERS ST., LOTS 13,14,15, LOT 9, LOT 5 BEING LOTS 6, 7, 8, BLK 11, LINDA R. &amp; PARFAIT ROMERO SUB IMP (1503 ROGERS ST) ACQ: RAPHAEL FUSILIER - 1977 (672-330)</t>
  </si>
  <si>
    <t>WELDON VITTO</t>
  </si>
  <si>
    <t>1214 Adrian St, New Iberia, LA 70560</t>
  </si>
  <si>
    <t>https://www.civicsource.com/CNI10897</t>
  </si>
  <si>
    <t>225 Daspit Rd, LA</t>
  </si>
  <si>
    <t>UNDIVIDED INTEREST OF : 99% IN: 1- 50 X 150 LOT 2, DASPIT ROAD, LOT 12, LOT 10 BEING LOT 11, BLK. A, QUEREAU ADD IMP (225 DASPIT RD) ACQ: LAURA SEMIEN ACQ 1% INT OF DAVE WILLIAM ESTATE THRU TAX SALE FOR NON PAYMENT OF 2015 CITY TAXES - 2016 (1606-403) ACQ: HARRIER ENTERPRISES LLC ACQ 99% INT OF THE DAVE WILLIAM ESTATE THRU TAX SALE FOR NON PAYMENT OF 2017 CITY TAXES - 2018 (1648-118)</t>
  </si>
  <si>
    <t>HARRIER ENTERPRISES LLC</t>
  </si>
  <si>
    <t>Po Box 9583, New Iberia, LA 70562-9583</t>
  </si>
  <si>
    <t>https://www.civicsource.com/CNI10927</t>
  </si>
  <si>
    <t>1017 Ann St, LA</t>
  </si>
  <si>
    <t>UNDIVIDED INTEREST OF : 100% IN: 2-100 X 114 LOTS 1 6 2, FRANCIS ST, LOT 14, ANN ST BEING LOT 15 &amp; 16, BLK 5, #2 CARTIMIGLIA ADD IMP (1017 ANN ST) ACQ: MARY C POLK - 1960 (350-228)</t>
  </si>
  <si>
    <t>WALTER THIBODEAUX</t>
  </si>
  <si>
    <t>1017 Ann St, New Iberia, LA 70560</t>
  </si>
  <si>
    <t>https://www.civicsource.com/CNI11042</t>
  </si>
  <si>
    <t>616 Robertson St, LA</t>
  </si>
  <si>
    <t>UNDIVIDED INTEREST OF : 100% IN: 1-50 X 200 ITEM 1 LOT 16, LOT 14, LOT 2, ROBERTSON ST BEING LOT 15, BLK 1 OF PLAT IMP (616 ROBERTSON ST) ITEM 2 IMP (616 A ROBERTSON ST) ITEM 3 IMP (616 B ROBERTSON ST) ITEM 4 IMP (616 C ROBERTSON ST) ITEM 5 ACQ: DUDLEY VIATOR - 2007 (1357-733)</t>
  </si>
  <si>
    <t>LANE M JONES</t>
  </si>
  <si>
    <t>643 Robertson St, New Iberia, LA 70560</t>
  </si>
  <si>
    <t>https://www.civicsource.com/CNI10880</t>
  </si>
  <si>
    <t>335 Deare St, LA</t>
  </si>
  <si>
    <t>UNDIVIDED INTEREST OF : 100% IN: 1- 65 X 134/135 LOT 19, LOT 17, LOT 13, DEARE ST BEING LOT 18, BLK B, POURCIAU SUB IMP (335 DEARE ST) ACQ: ALTON LEE SONNIER - 2007 (1376-378) ACQ: AMANDA BUTEAUX AND AMY RENEE BROUSSARD ACQ INT OF TOBY BUTEAUX THRU SUCC - 2015 (1581-282) ACQ: INT OF AMANDA BUTEAUX THRU PARTITION - 2015 (1581-288)</t>
  </si>
  <si>
    <t>AMY RENEE BROUSSARD</t>
  </si>
  <si>
    <t>1057 Mustang Drive, St Martinville, LA 70582</t>
  </si>
  <si>
    <t>https://www.civicsource.com/CNI10784</t>
  </si>
  <si>
    <t>309 Fontelieu Dr, LA</t>
  </si>
  <si>
    <t>UNDIVIDED INTEREST OF : 100% IN: 1-55 X 110 LOT 13, LOT 15, KEFF CORP., FONTELIEU DR. BEING LOT 14, BLK B, SILVER ACRES SUB. IMP (309 FONTELIEU DR.) ACQ: SECRETARY OF VETERANS AFFAIRS - 2012 (1500-693) ACQ: OLIVIER OAKS INVESTMENTS LLC ACQ INT OF JASON M OLIVIER THRU TRANSFER - 2016 (1599-307)</t>
  </si>
  <si>
    <t>OLIVIER OAKS INVESTMENTS LLC</t>
  </si>
  <si>
    <t>105 Rio Ridge, Lafayette, LA 70508</t>
  </si>
  <si>
    <t>https://www.civicsource.com/CNI10351</t>
  </si>
  <si>
    <t>313 E Pershing St, LA</t>
  </si>
  <si>
    <t>UNDIVIDED INTEREST OF : 100% IN: 1- 40 X 96 THERIOT, E. PERSHING ST, BOUDREAUX, ARRIGO IMP (313 E PERSHING ST) ACQ: NELSON JACK ROWE - 2016 (1599-304)</t>
  </si>
  <si>
    <t>https://www.civicsource.com/CNI10716</t>
  </si>
  <si>
    <t>527 Silver St, LA</t>
  </si>
  <si>
    <t>UNDIVIDED INTEREST OF : 100% IN: 1-55 X 110 LOT 133, LOT 135, LOT 172, SILVER ST BEING LOT 134, BLK E, SILVER ACRES SUB IMP (527 SILVER ST) ACQ: NOVASTAR MORTGAGE FUNDING TRUST - 2012 (1518-362) ACQ: OLIVIER OAKS INVESTMENTS LLC ACQ INT OF JASON OLIVIER THRU ACT OF CONVEYANCE &amp; CONTRIBUTION - 2016 (1609-323)</t>
  </si>
  <si>
    <t>https://www.civicsource.com/CNI10271</t>
  </si>
  <si>
    <t>107 Delasalle Dr, LA</t>
  </si>
  <si>
    <t>UNDIVIDED INTEREST OF : 100% IN: 1-51/43 X 266/237 LOT 16, PART LOT 17, PART LOT 17, DELASALLE DR BEING N-PART LOT 17 OF PLAT OF MAUDE CARSTEN LANDS IMP (107 DELASALLE DR) ACQ: LEROY DAUTREUIL- 2007 (1361-353)</t>
  </si>
  <si>
    <t>ERIC P BROUSSARD</t>
  </si>
  <si>
    <t>208 Dahlia Street, New Iberia, LA 70563</t>
  </si>
  <si>
    <t>https://www.civicsource.com/CNI10068</t>
  </si>
  <si>
    <t>111 Iberia St, LA</t>
  </si>
  <si>
    <t>UNDIVIDED INTEREST OF : 100% IN: 1-52 X 117 ITEM 8 IBERIA ST, ALLEY, WORMSER, WORMSER SITUATED IN BLK 213, CITY MAP IMP (111 IBERIA ST) ACQ: DAVID WORMSER ETALS - 2016 (1613-234)</t>
  </si>
  <si>
    <t>JASON MATTHEW WERTH SR</t>
  </si>
  <si>
    <t>239 W St Peter St, New Iberia, LA 70560</t>
  </si>
  <si>
    <t>https://www.civicsource.com/CNI10939</t>
  </si>
  <si>
    <t>202 Chestnut St, LA</t>
  </si>
  <si>
    <t>UNDIVIDED INTEREST OF : 100% IN: 1-75 X 100 PATOUT, BRUMFIELD, PATIN, CHESTNUT ST IMP (202 CHESTNUT ST) SOLD TO CITY OF NI FOR 1994 CITY TAXES - 1995 (1096-536) SOLD TO CITY OF NI FOR 1997 CITY TAXES - 1998 (1160-66) SOLD TO CITY OF NI FOR 1998 CITY TAXES - 1999 (1179-456) ACQ: REBECCA ANN ALBERT BROUSSARD ETAL - 2011 (1494-834) ACQ: OLIVIER OAKS INVESTMENTS LLC ACQ INT OF JASON M OLIVIER THRU TRANSFER - 2016 (1599-307)</t>
  </si>
  <si>
    <t>https://www.civicsource.com/CNI9790</t>
  </si>
  <si>
    <t>132 Reynolds St, LA</t>
  </si>
  <si>
    <t>UNDIVIDED INTEREST OF : 100% IN: 1- 50 X 100 LOT 6, REYNOLDS ST, LOT 9, W-100' LOTS 7 &amp; 8 BEING THE E/50' OF LOTS 7 &amp; 8, BLK 2, REED SUB IMP (132 REYNOLDS ST) ACQ: ROWENA T DELAHOUSSAYE - 2016 (1611-133)</t>
  </si>
  <si>
    <t>DAVID BARNES</t>
  </si>
  <si>
    <t>132 Reynolds St, New Iberia, LA 70560</t>
  </si>
  <si>
    <t>https://www.civicsource.com/CNI10092</t>
  </si>
  <si>
    <t>217 Colgin St, LA</t>
  </si>
  <si>
    <t>UNDIVIDED INTEREST OF : 100% IN: 1- 94/114 X 49/56 LOT 10, PART LOT 11, TWIN CIRCLE SUB, COLGIN ST BEING NORTHERLYMOST PART LOT 11 COLGIN STREET ADD IMP (217 COLGIN ST) ACQ: EVANGELINE LIFE INS CO - 2006 (1338-577) ACQ: ACKNOWLEDGMENT, CONFIRMATION &amp; RATIFICATION OF 2006 SALE - 2007 (1354-689)</t>
  </si>
  <si>
    <t>CHESTER HILLS</t>
  </si>
  <si>
    <t>119 South Corinne St, New Iberia, LA 70560</t>
  </si>
  <si>
    <t>https://www.civicsource.com/CNI10787</t>
  </si>
  <si>
    <t>720 Breaux Aly, LA</t>
  </si>
  <si>
    <t>UNDIVIDED INTEREST OF : 100% IN: 2- 100 X 100 LOT 22, BREAUX ALLEY, WEST AVE, LOTS 1 &amp; 2 BEING LOTS 23 &amp; 24, BLK. C-2 OF PLAT OF SURVEY ACQ: DANA M ANTOINE ACQ INT OF IRA ANTOINE SR THRU DONATION - 2017 (1618-702) ACQ: ACCEPTANCE OF DONATION - 2017 (1618-699) IMP (720 BREAUX ALY) ACQ: RATIFICATION &amp; ACCEPTANCE OF DONATION - 2017 (1628-349)</t>
  </si>
  <si>
    <t>DANA MARIE ANTOINE</t>
  </si>
  <si>
    <t>303 Sugar Trace Lane, New Iberia, LA 70563</t>
  </si>
  <si>
    <t>https://www.civicsource.com/CNI9810</t>
  </si>
  <si>
    <t>716 Touriac St, LA</t>
  </si>
  <si>
    <t>UNDIVIDED INTEREST OF : 100% IN: 1- 50 X 160 ROBERTSON ST, LOT 16, BOYANCY, ROY IMP (716 TOURIAC ST) ACQ: SUCC OF ALVERTA CAESAR JACQUET - 2007 (1387-6)</t>
  </si>
  <si>
    <t>ANTHONY E JACQUET</t>
  </si>
  <si>
    <t>Po Box 5045, Lafayette, LA 70502</t>
  </si>
  <si>
    <t>https://www.civicsource.com/CNI10314</t>
  </si>
  <si>
    <t>300 Fontelieu Dr, LA</t>
  </si>
  <si>
    <t>UNDIVIDED INTEREST OF : 100% IN: 1-98/103 X 133 SEALE ST, LOT 2, FONTELIEU DR, LOTS 27, 28 &amp; 29 BEING LOT 1, BLK B, POURCIAU SUB IMP (300 FONTELIEU DR) ACQ: CR PROPERTIES 2015 LLC - 2015 (1589-937)</t>
  </si>
  <si>
    <t>MICHELLE THERESA GIBBS WILLIAMS</t>
  </si>
  <si>
    <t>300 Fontelieu Dr, New Iberia, LA 70560</t>
  </si>
  <si>
    <t>https://www.civicsource.com/CNI9900</t>
  </si>
  <si>
    <t>114 W Washington St, LA</t>
  </si>
  <si>
    <t>UNDIVIDED INTEREST OF : 99% IN: 1- 46 X 168/170 DELCAMBRE, MARIN, LOT 6-A, WASHINGTON STREET. IMP (114 W WASHINGTON ST) LAND COMM SITE DEVELOPMENT ITEM 3 ACQ: CHC PARTNERS L P - 2007 (1385-271) ACQ: HARRIER ENTERPRISES LLC ACQ 99% INT OF ADEL MALAHMEH THRU TAX SALE FOR NON PAYMENT OF 2016 CITY TAXES - 2017 (1627-800)</t>
  </si>
  <si>
    <t>302 Sawgrass Ln, Broussard, LA 70518</t>
  </si>
  <si>
    <t>https://www.civicsource.com/CNI10002</t>
  </si>
  <si>
    <t>611 Jane St, LA</t>
  </si>
  <si>
    <t>UNDIVIDED INTEREST OF : 100% IN: 1- 50 X TO BAYOU TECHE ITEM 1 RICHTER, HOPKINS STREET, BAYOU TECHE, JANE STREET 1- 25 X 207/190 (0.114 AC) ITEM 2 FORMERLY THE EXTENSION OF HOPKINS STREET BEING TRACT 1 OF PLAT ACQ: PRISCILLA MCDONALD THRU AMENDED JUDGMENT OF POSSESION - 2009 (1421-809) IMP (METAL STORAGE BLDG) ITEM 3 IMP (METAL STORAGE BLDG) ITEM 4</t>
  </si>
  <si>
    <t>COLLEEN M BAYARD</t>
  </si>
  <si>
    <t>https://www.civicsource.com/CNI10477</t>
  </si>
  <si>
    <t>714 Touriac St, LA</t>
  </si>
  <si>
    <t>UNDIVIDED INTEREST OF : 100% IN: 1- 50 X 150 W N. LD. CO, EVANS, DECOUX, ROBERTSON ST IMP (714 TOURIAC ST) ACQ: SUCC JUSTILIEN ROY - 2006 (1335-271) ACQ: JENNIFER SONN ACQ 1/2 INT THRU DONATION - 2006 (1335-451)</t>
  </si>
  <si>
    <t>THERESA SONN</t>
  </si>
  <si>
    <t>1714 New Horizon, #78, New Iberia, LA 70560</t>
  </si>
  <si>
    <t>https://www.civicsource.com/CNI10719</t>
  </si>
  <si>
    <t>945 Jane St, LA</t>
  </si>
  <si>
    <t>UNDIVIDED INTEREST OF : 100% IN: 1- 40/61 X 107 ITEM 1 CAMELIA ST, UPTON ESTATE, JANE ST, METZ. IMP (945 JANE ST - P J FLOORS) ITEM 2 LAND COMM SITE DEVELOPMENT ITEM 3 ACQ: FREDERICK G METZ, SR - 1997 (1137-617) ACQ: EASTERN PROPERTIES/BMO HARRIS ACQ 100% INT OF PRESTON J TOUPS THRU TAX SALE FOR NON PAYMENT OF 2016 PARISH TAXES - 2017 (1629-23) ACQ: MICHAEL RILEY ACQ INT OF EASTERN PROPERTIES THRU TAX SALE FOR NON PAYMENT OF 2018 CITY TAXES - 2019 (1669-356)</t>
  </si>
  <si>
    <t>EASTERN PROPERTIES/BMO HARRIS</t>
  </si>
  <si>
    <t>405 N 115Th St, Ste 100, Omaha, NE 68154</t>
  </si>
  <si>
    <t>https://www.civicsource.com/CNI10843</t>
  </si>
  <si>
    <t>UNDIVIDED INTEREST OF : 100% IN: 1-50 X 100 JANE ST, LAMPEREZ, LOT 2, LOT 4 BEING N-100' LOT 3, BLK 26, LOURD'S ADD IMP (611 JANE ST) ACQ: SUCC ANNA M DECOUX THRU MABLE D JONES THRU DOROTHY D BOUDREAUX - 1992 (1030-264)</t>
  </si>
  <si>
    <t>COLLEEN CLAIRE MCDONALD</t>
  </si>
  <si>
    <t>https://www.civicsource.com/CNI10485</t>
  </si>
  <si>
    <t>206 Trotter St, LA</t>
  </si>
  <si>
    <t>UNDIVIDED INTEREST OF : 100% IN: 1-50 X 120 TROTTER ST, DAVIS, BREAUX, VILLERMIN IMP (206 TROTTER ST) ACQ: CHARLES C WHITE JR THRU SUCC - 2014 (1557-312) ACQ: RELEASE OF USUFRUCT THRU AFFIDAVIT - 2016 (1596-197)</t>
  </si>
  <si>
    <t>BEAU J WHITE</t>
  </si>
  <si>
    <t>206 Trotter St, New Iberia, LA 70563</t>
  </si>
  <si>
    <t>https://www.civicsource.com/CNI11033</t>
  </si>
  <si>
    <t>1008 Christopher St, LA</t>
  </si>
  <si>
    <t>UNDIVIDED INTEREST OF : 100% IN: 1-75 X 130 CHRISTOPHER ST, LOT 18, LOT 6, LOT 4. BEING LOT 5, BLK 2, ACADIAN PLACE SUB., PHASE 1. IMP (1008 CHRISTOPHER ST) ACQ: RONALD W. LARSON-1991 (1014-178)</t>
  </si>
  <si>
    <t>QUINTIN J MEDVER</t>
  </si>
  <si>
    <t>1008 Christopher St, New Iberia, LA 70563</t>
  </si>
  <si>
    <t>https://www.civicsource.com/CNI10509</t>
  </si>
  <si>
    <t>504 Broussard St, LA</t>
  </si>
  <si>
    <t>UNDIVIDED INTEREST OF : 100% IN: 1- 60 X 132 LOTS 3 &amp; 4, BROUSSARD ST., LOT 19, LOT 17 BEING LOT 18, BLK 309-A, IBERIA PARK SUB. IMP(504 BROUSSARD ST) ACQ: JULIUS M. DEROUEN, JR.-1955 ACQ: PRISCILLA BERNARD MCDONALD ACQ INT OF IRMA ROMERO THRU DONATION - 2004 (1292-663) ACQ: COLLEEN MCDONALD BAYARD ACQ INT OF IRMA ROMERO BERNARD THRU DONATION - 2008 (1390-488) ACQ: COLLEEN MCDONALD BAYARD ACQ INT OF ALPHONSE J BERNARD THRU SUCC - 2008 (1391-336) ACQ: COLLEEN MCDONALD BAYARD ACQ INT OF PRISCILLA BERNARD MCDONALD THRU SUCC - 2008 (1391-339) ACQ: AMENDED JUDGMENT OF PRISCILLA MCDONALD- 2009 (1421-809)</t>
  </si>
  <si>
    <t>https://www.civicsource.com/CNI9875</t>
  </si>
  <si>
    <t>433 Evangeline St, LA</t>
  </si>
  <si>
    <t>UNDIVIDED INTEREST OF : 100% IN: 1- 75 X 150 LOT 23, LOT 25, CONRAD, EVANGELINE ST BEING LOT 24, JEFFERSON TERRACE ADD IMP (433 EVANGELINE ST) ACQ: DAVID ERIC NEUNER - 2017 (1619-187)</t>
  </si>
  <si>
    <t>MARCUS DALBANY</t>
  </si>
  <si>
    <t>5448 Hogan Lane, Winter Haver, FL 33884</t>
  </si>
  <si>
    <t>https://www.civicsource.com/CNI10595</t>
  </si>
  <si>
    <t>1314 Bank Ave, LA</t>
  </si>
  <si>
    <t>UNDIVIDED INTEREST OF : 100% IN: 1- 75 X 110 BEING LOTS 48, 49, 50, BLK H, VERSAILLES GARDENS SUB IMP (1314 BANK AVE) ACQ: THE BANK OF NEW YORK MELLON TRUST COMPANY - 2014 (1550-182) ACQ: OLIVIER OAKS INVESTMENTS LLC ACQ INT OF JASON M OLIVIER THRU TRANSFER - 2016 (1599-307)</t>
  </si>
  <si>
    <t>https://www.civicsource.com/CNI10421</t>
  </si>
  <si>
    <t>812 Vicnaire St, LA</t>
  </si>
  <si>
    <t>UNDIVIDED INTEREST OF : 99% IN: 1- 60 X 150 LOT 13, LOT 15, LOTS 6 &amp; 7, VICNAIRE ST BEING LOT 14, BLK 4, PRIOUX SUB #3 IMP (812 VICNAIRE ST) ACQ: MICHAEL G BROUSSARD - 2014 (1550-737) ACQ: NEBRASKA ALLIANCE REALTY COMPANY ACQ 1% INT OF AARON J BRAQUET THRU TAX SALE FOR NON PAYMENT OF 2015 PARISH TAXES - 2016 (1605-900) ACQ: NEBRASKA ALLIANCE REALTY COMPANY ACQ 1% INT OF AARON J BRAQUET THRU TAX SALE FOR NON PAYMENT OF 2015 CITY TAXES - 2016 (1606-351) ACQ: HARRIER ENTERPRISES LLC ACQ 99% OF 98% OF AARON BRAQUET THRU TAX SALE FOR NON PAYMENT OF 2016 PARISH TAXES - 2017 (1628-653) ACQ: HARRIER ENTERPRISES LLC ACQ 100% INT OF 2% INT OF NEBRASKA ALLIANCE REALTY CO THRU TAX SALE FOR NON PAYMENT OF 2016 PARISH TAXES - 2017 (1628-855) ACQ: RICHARD HOWELL II ACQ 1% INT OF AARON BRAQUET THRU TAX SALE FOR NON PAYMENT OF 2017 PARISH TAXES - 2018 (1647-296) ACQ: LAURA MITCHELL ACQ 99% INT OF 1% INT OF AARON JASON BRAQUET THRU TAX SALE FOR NON PAYMENT OF 2017 CITY TAXES - 2018 (1648-62)</t>
  </si>
  <si>
    <t>Po Box 9583, New Iberia, LA 70562</t>
  </si>
  <si>
    <t>https://www.civicsource.com/CNI10125</t>
  </si>
  <si>
    <t>1400 Dehart Dr, LA</t>
  </si>
  <si>
    <t>UNDIVIDED INTEREST OF : 100% IN: 1- 86/114 X 123/120 MONTAGNE ST, LOT 19, DEHART DR, LOT 1 &amp; PART LOT 2. BEING LOT 20, BLK 3, SOUTHPORT SUB.PART 1. IMP (1400 DEHART DR) ACQ: DAVID L. HUTCHISON THRU CAPITAL UNION SAVINGS, F.A. THRU SHERIFF'S SALE THRU FEDERAL NATIONAL MORTGAGE ASSO. - 1988 (942-88-1800)</t>
  </si>
  <si>
    <t>JAMES RYAN ROWELL</t>
  </si>
  <si>
    <t>214 Jacqueline Dr, New Iberia, LA 70563</t>
  </si>
  <si>
    <t>https://www.civicsource.com/CNI10717</t>
  </si>
  <si>
    <t>108 W Washington St, LA</t>
  </si>
  <si>
    <t>UNDIVIDED INTEREST OF : 99% IN: 1-25/26 X 64 ITEM 2 SECURITY INDUSTRIAL INS. CO, W. WASHINGTON ST, JOHNSON, BROUSSARD IMP (108 - 110 W WASHINGTON ST) ITEM 1 LAND COMM SITE DEVELOPMENT ITEM 3 ACQ: MORRIS M HAIK JR - 2007 (1387-206) ACQ: HARRIER ENTERPRISES LLC ACQ 99% OF 100% INT OF ADEL MALAHMEH THRU TAX SALE FOR NON PAYMENT OF 2016 CITY TAXES - 2017 (1627-862)</t>
  </si>
  <si>
    <t>302 Sawgrass Lane, Broussard, LA 70518</t>
  </si>
  <si>
    <t>https://www.civicsource.com/CNI10258</t>
  </si>
  <si>
    <t>600 Jane St, LA</t>
  </si>
  <si>
    <t>UNDIVIDED INTEREST OF : 100% IN: 1-50 TO BAYOU TECHE ITEM 1 MCDONALD, BERNARD, BAYOU TECHE, JANE ST BEING LOT 2, BLK 142, CITY MAP 1-106 X 232 (TO BAYOU TECHE) ITEM 1 TEXAS R.R. &amp; STEAMSHIP CO., MCDONALD, BAYOU TECHE, JANE ST BEING LOT 6, BLK 142 CITY MAP IMP (CAR LOT - 600 E JANE ST) ITEM 2 IMP (STORAGE - 600 JANE ST) ITEM 3 LAND COMM SITE DEVELOPMENT ITEM 4 ACQ: AMENDED JUDGMENT OF POSSESSION OF PRISCILLA MCDONALD- 2009 (1421-809)</t>
  </si>
  <si>
    <t>https://www.civicsource.com/CNI10486</t>
  </si>
  <si>
    <t>908 E Pershing St, LA</t>
  </si>
  <si>
    <t>UNDIVIDED INTEREST OF : 100% IN: 1-74/72 X 80/88 ITEM 1 E PERSHING ST, LOT 11, PART LOTS 12 &amp; 13, LOTS 1 &amp; 2 BEING W/76' OF LOTS 12 &amp; 13 BLK 301 CITY MAP IMP (908 E PERSHING ST) ITEM 2 IMP (912 E PERSHING ST) ITEM 3 ACQ: JACQUELINE CEFALU - 2011 (1487-74) ACQ: INT OF JENNIFER LUSSAN TERRY OLIVIER THRU DONATION - 2012 (1497-276) ACQ: OLIVIER OAKS INVESTMENTS LLC ACQ INT OF JASON M OLIVIER THRU TRANSFER - 2016 (1599-307)</t>
  </si>
  <si>
    <t>https://www.civicsource.com/CNI10372</t>
  </si>
  <si>
    <t>726 W Pershing St, LA</t>
  </si>
  <si>
    <t>UNDIVIDED INTEREST OF : 100% IN: 1-50 X 160 LABAUVE, PERSHING ST., FREEMIN, ?</t>
  </si>
  <si>
    <t>JANG EST WILLIAM</t>
  </si>
  <si>
    <t>5751 Shermer Ct, Las Vegas, NV 89120</t>
  </si>
  <si>
    <t>https://www.civicsource.com/CNI10931</t>
  </si>
  <si>
    <t>418 Springfield St, LA</t>
  </si>
  <si>
    <t>UNDIVIDED INTEREST OF : 100% IN: 1- 50/186 X 158/156 GACHASSIN, SPRINGFIELD ST, LOT 50, LOT 52 BEING LOT 51 SUMMERFIELD SUB LOCATED IN SECS. 12 &amp; 13, T 12 S, R 7 E. IMP (418 SPRINGFIELD ST) ACQ: MANUEL BUILDERS LLC - 2011 (1489-575)</t>
  </si>
  <si>
    <t>JOHN CARROLL LOCKETT</t>
  </si>
  <si>
    <t>418 Springfield St, New Iberia, LA 70560</t>
  </si>
  <si>
    <t>https://www.civicsource.com/CNI9774</t>
  </si>
  <si>
    <t>617 N Lewis St, LA</t>
  </si>
  <si>
    <t>UNDIVIDED INTEREST OF : 100% IN: 1-90 X 155 MYRA ST, LOT 2, N LEWIS ST, LOTS 10 &amp; 11 BEING LOT 1, BLK 9, PRIOUX SUB 4 IMP (617 N LEWIS ST) ACQ: NORVELEE BRANTLEY MESTAYER - 2013 (1537-266)</t>
  </si>
  <si>
    <t>CHESTER HILLS SR</t>
  </si>
  <si>
    <t>Po Box 9801, New Iberia, LA 70562</t>
  </si>
  <si>
    <t>https://www.civicsource.com/CNI10776</t>
  </si>
  <si>
    <t>125 Emma St, LA</t>
  </si>
  <si>
    <t>UNDIVIDED INTEREST OF : 100% IN: 1- 59 X 146 EMMA ST, LOT 5, LOT 31, LOT 2 BEING LOT 32, BLK B, REYNOLDS SUB IMP (125 EMMA ST) ACQ: BRAY STREET LLC - 2016 (1608-400)</t>
  </si>
  <si>
    <t>SQUARE ONE RENTALS LLC</t>
  </si>
  <si>
    <t>311 West Judy Street, Delcambre, LA 70528</t>
  </si>
  <si>
    <t>https://www.civicsource.com/CNI9853</t>
  </si>
  <si>
    <t>131 Bank Ave, LA</t>
  </si>
  <si>
    <t>UNDIVIDED INTEREST OF : 100% IN: 1-50 X 136 BROUSSARD, CHARLES ST., BROUSSARD, BANK AVE IMP (131 BANK AVE) ACQ: BY DELIVERY OF LEGACY FROM SUCC.IDA ROMERO -1961 (354-334) ACQ: HARRIER ENTERPRISES LLC ACQ INT OF HATTON VIATOR FOR NON PAYMENT OF 2016 CITY TAXES - 2017 (1627-884)</t>
  </si>
  <si>
    <t>https://www.civicsource.com/CNI10883</t>
  </si>
  <si>
    <t>794 Worthy St, LA</t>
  </si>
  <si>
    <t>UNDIVIDED INTEREST OF : 100% IN: 0.488 AC.... (188/181 X 131/101) LOTS 5, 6, &amp; 7, PREJEAN, LOT 15 (STEIN), LOTS 16A &amp; 16D BEING LOTS 16B, 16C &amp; 17A, MAJESTIC OAKS OF PLAT OF SURVEY IMP (794 WORTHY ST) ITEM 1 IMP (APARTMENT) ITEM 3 ACQ: ALLEN P MCDONALD THRU DONATION - 2010 (1467-318) ACQ: AFFIDAVIT OF CORRECTION - 2011 (1474-418)</t>
  </si>
  <si>
    <t>https://www.civicsource.com/CNI10475</t>
  </si>
  <si>
    <t>137 W Main St, LA</t>
  </si>
  <si>
    <t>UNDIVIDED INTEREST OF : 100% IN: 1-22 X 150 MAIN ST, ABDALLA, ABDALLA, KAHN IMP (ARMENTOR'S JEWELERS - 137 W MAIN ST) ACQ: SANFORD ARMENTOR - 2009 (1442-717) ACQ: INT OF EMILIE CLEMENT THRU COMM PARTITION - 2012 (1505-288)</t>
  </si>
  <si>
    <t>JARROD R CLEMENT</t>
  </si>
  <si>
    <t>11818 Old Jeanerette Rd, Jeanerette, LA 70544</t>
  </si>
  <si>
    <t>https://www.civicsource.com/CNI9822</t>
  </si>
  <si>
    <t>530 Caudron Ln, LA</t>
  </si>
  <si>
    <t>UNDIVIDED INTEREST OF : 100% IN: 1-240/210 X 102/92 COUDRON LANE, CITY OF NEW IBERIA, LOT 18, PART LOT 14 BEING LOTS 16 &amp; 17 &amp; PART LOTS 14 &amp; 15, TURNER SUB ACQ: DON AMOS TROUTT - 1976 (652-141) IMP (530 CAUDRON LN) LAND COMM SITE DEVELOPMENT</t>
  </si>
  <si>
    <t>DON'S RADIATOR SERVICE INCORPORATED</t>
  </si>
  <si>
    <t>530 Caudron Lane, New Iberia, LA 70560</t>
  </si>
  <si>
    <t>https://www.civicsource.com/CNI10121</t>
  </si>
  <si>
    <t>502 Texaco St, LA</t>
  </si>
  <si>
    <t>UNDIVIDED INTEREST OF : 100% IN: 1- 100 X 284/288 TEXACO ST, DRAINAGE CANAL, LOT 6, LOT 8 BEING LOT 7, OF RESUB OF BLK 26, ACADIAN ACRES ADD LOCATED IN SEC 2, T12S, R6E IMP (502 TEXACO ST) ACQ: MARGARET LEBLANC ELIAS - 2014 (1552-577)</t>
  </si>
  <si>
    <t>ALEX ARCENEAUX</t>
  </si>
  <si>
    <t>Po Box 9457, New Iberia, LA 70562</t>
  </si>
  <si>
    <t>https://www.civicsource.com/CNI10161</t>
  </si>
  <si>
    <t>795 Worthy St, LA</t>
  </si>
  <si>
    <t>UNDIVIDED INTEREST OF : 100% IN: 1-92/105 X 156/141 ITEM 2 LOTS 3, 4, 5, WORTHY ST, LOT 14, LOT 16 BEING LOT 15 OF PLAT SHOWING RESUBDIVISION OF A 7.254 AC TRACT IMP (795 WORTHY ST) ITEM 1 1-20 X 110 ITEM 3 LOT 5, WORTHY ST, LOT 15, PART LOT 16 BEING E-20' LOT 16 OF PLAT SHOWING RESUBDIVISION OF A 7.254 AC TRACT 1-15 X 109 ITEM 4 LOTS 4 &amp; 5, STEIN, LOT 3, CARLYON ACQ: STACY STEIN BUSTAMANTE AND CHRIS MATTHEW STEIN ACQ INT OF J (JOSEPH) HARDY STEIN THRU SUCC - 2013 (1548-4) &amp; JUNE RICHARD STEIN THRU SUCC - 2013 (1548-15)</t>
  </si>
  <si>
    <t>CHRIS MATTHEW STEIN</t>
  </si>
  <si>
    <t>117 Oak Hill Rd, New Iberia, LA 70560</t>
  </si>
  <si>
    <t>https://www.civicsource.com/CNI10807</t>
  </si>
  <si>
    <t>634 Hebert St, LA</t>
  </si>
  <si>
    <t>UNDIVIDED INTEREST OF : 100% IN: 1-80 X 72 FOLKS, GARY &amp; LEBLANC, BREAUX &amp; MONEAUX, HEBERT ST. LOCATED IN SEC 14, T 12 S, R 6 E. IMP (634 HEBERT ST) ACQ: WILLIAM DEROUEN THRU IBERIA PARISH GOVERNMENT- 2018 (1653-21)</t>
  </si>
  <si>
    <t>ROBERT COMB</t>
  </si>
  <si>
    <t>228 Washington St, Arnaudville, LA 70512</t>
  </si>
  <si>
    <t>https://www.civicsource.com/CNI11050</t>
  </si>
  <si>
    <t>1740 Center St, LA</t>
  </si>
  <si>
    <t>UNDIVIDED INTEREST OF : 100% IN: 1-188 X 152 ITEM 2 BEING LOTS 13, 14, 15, BLK A, DUROC SUB 1 - 25.7 X 954 ITEM 4 BEING THAT CERTAIN STRIP OF LAND 25.7' DEEP &amp; RUNNING THE ENTIRE WIDTH OF DUROC SUBD ALONG THE SOUTHERN END ACQ: JOSEPH PRESTON DUHE ETAL 1998 - (1164-773) IMP (1740 CENTER ST) ITEM 1 LAND COMM SITE DEVELOPMENT ITEM 3</t>
  </si>
  <si>
    <t>LUCKY JAMES ROMERO</t>
  </si>
  <si>
    <t>1740 Center St, New Iberia, LA 70560</t>
  </si>
  <si>
    <t>https://www.civicsource.com/CNI10698</t>
  </si>
  <si>
    <t>921 Vermillion Square, LA</t>
  </si>
  <si>
    <t>UNDIVIDED INTEREST OF : 100% IN: 2.22 AC.. ITEM 11 DORSEY, JORDAN, LOTS 10 THRU 15, LOTS 11 THRU 17 &amp; PART 10 &amp; 18 LOCATED IN SEC 20, T 12 S, R 7 E APT. BLDG. #1 ITEM 1 APT. BLDG. #2 ITEM 2 APT. BLDG. #3 ITEM 3 APT. BLDG. #4 ITEM 4 APT. BLDG. #5 ITEM 5 APT. BLDG. #6 ITEM 6 APT. BLDG. #7 ITEM 7 APT. BLDG. #8 ITEM 8 APT. BLDG. #9 ITEM 9 IMP- OFFICE / LAUNDRY RM / STORAGE ITEM 10 LAND COMM SITE DEVELOPMENT ITEM 12 ACQ: OAKRIDGE CONSTRUCTION &amp; PROPERTY MANAGEMENT LLC - 2007 (1360-761)</t>
  </si>
  <si>
    <t>PMA PROPERTIES LLC</t>
  </si>
  <si>
    <t>Po Box 905, St Martinville, LA 70582</t>
  </si>
  <si>
    <t>https://www.civicsource.com/CNI10612</t>
  </si>
  <si>
    <t>802 E Pershing St, LA</t>
  </si>
  <si>
    <t>UNDIVIDED INTEREST OF : 100% IN: 1-50 X 70 E PERSHING ST., MCDONALD, LOTS 1 &amp; 2, CHEROKEE ST BEING PART LOT 8, BLK 14, LEWIS ADD IMP (802 E PERSHING ST) ACQ: LOUDICE DORE THRU ALLEN PAUL MCDONALD- 1971 (557-858) ACQ: KEITH SAUCIER ACQ INT OF FOREMAN KNATT THRU TAX SALE FOR NON PAYMENT OF 2015 CITY TAXES - 2016 (1606-371)</t>
  </si>
  <si>
    <t>KEITH SAUCIER</t>
  </si>
  <si>
    <t>4050 Irish Bend, Franklin, LA 70538</t>
  </si>
  <si>
    <t>https://www.civicsource.com/CNI10364</t>
  </si>
  <si>
    <t>Darby Ln, LA</t>
  </si>
  <si>
    <t>UNDIVIDED INTEREST OF : 100% IN: .002 AC BEING TRIANGULAR INSHAPE LOCATED IN SEC 56, T11S, R6E. ACQ: S.R. GOLF, INC- 2002 (1232-896)</t>
  </si>
  <si>
    <t>TODD R LEMAIRE</t>
  </si>
  <si>
    <t>705 Quail Ridge, New Iberia, LA 70560</t>
  </si>
  <si>
    <t>https://www.civicsource.com/CNI10724</t>
  </si>
  <si>
    <t>Ann St, LA</t>
  </si>
  <si>
    <t>UNDIVIDED INTEREST OF : 100% IN: 1-60 X 49 VALLOT, DELAHOUSSAYE, GUILLOT, ALLEYWAY ACQ: SUCC MARY AGNES COLEMAN THRU ALPHONSINE RATIER ETAL - 1979 (713-639) ACQ: INT OF LORRAINE A SPARROW THRU COMM SETTLEMENT - 1990 (987-48)</t>
  </si>
  <si>
    <t>RONALD P SPARROW SR ESTATE</t>
  </si>
  <si>
    <t>706 Twenty Arpent Rd, New Iberia, LA 70560</t>
  </si>
  <si>
    <t>https://www.civicsource.com/CNI10793</t>
  </si>
  <si>
    <t>Iberia Parish Sheriff</t>
  </si>
  <si>
    <t>6207 Hwy 14, LA</t>
  </si>
  <si>
    <t>UNDIVIDED INTEREST OF : 1% IN: 1.12 AC.... HWY 31, DUPUY, MIGUES, PART LOT 7 BEING CRAVED OUT OF PART LOT 8 OF PARTITION LOCATED IN SEC 67, T 12 S, R 6 E ACQ: JAMES JOHN DUPUY - 1973 (580-828) IMP (6207 HWY 14) ITEM 1 4.57 AC.... GRAVEL ROAD, DELCAMBRE, LOT 7, LABAUVE BEING LOT 8 OF PLAT OF PARTITION NUMA MIGUES HEIRS LOCATED IN SEC 67, T 12 S, R 6 E ACQ: SUCC. JAMES J DUPUY - 1977 (663-1081) ACQ: SUCC OF LEROY J PESSON - 2017 (1626-132) ACQ: BLUEJAY RENTALS LLC ACQUIRED 99% INT. THRU TAX SALE FOR NON PAYMENT OF 2018 PARISH TAXES - 2019 (1668-723)</t>
  </si>
  <si>
    <t>ELAINE TAUZIN PESSON</t>
  </si>
  <si>
    <t>6207 Hwy 14, New Iberia, LA 70560</t>
  </si>
  <si>
    <t>https://www.civicsource.com/IBS23830</t>
  </si>
  <si>
    <t>Bourg St, LA</t>
  </si>
  <si>
    <t>UNDIVIDED INTEREST OF : 100% IN: 1- 9 X 49 LEBLANC, MOURET, LEBLANC, LANDRY BEING PART LOT 3, BLK 4, BOURQUE ACQ: BOYD J MOURET JR ETAL THRU ACT OF CORRECTION- 2001 (1212-537)</t>
  </si>
  <si>
    <t>ALLEN ANTHONY BOUDOIN</t>
  </si>
  <si>
    <t>1402 Tarleton St, Jeanerette, LA 70544</t>
  </si>
  <si>
    <t>https://www.civicsource.com/IBS24141</t>
  </si>
  <si>
    <t>E Main St, LA</t>
  </si>
  <si>
    <t>UNDIVIDED INTEREST OF : 100% IN: 1-LOT (SEE PLAT) BEING A PORTION LOT 1, BLK 1, ULYSSE GONSOULIN SUBD ACQ: SUCC ALICE GONSOULIN ESTILETTE - 1998 (1167-368) ACQ: LAINEY MARTIN AND KENSEY L ESTILETTE ACQ INT OF RUSSELL C, DONALD, EUGENE AND GARY ESTILETTE THRU DONATION - 2011 (1478-217)</t>
  </si>
  <si>
    <t>KENNETH ETILETTE ESTATE</t>
  </si>
  <si>
    <t>C/O Lainey Martin, 51 Gajan St, New Iberia, LA 70560</t>
  </si>
  <si>
    <t>https://www.civicsource.com/CNI10167</t>
  </si>
  <si>
    <t>Coteau Holmes Rd, Delcambre, LA</t>
  </si>
  <si>
    <t>UNDIVIDED INTEREST OF : 100% IN: 1-145/140 X 320 ALLEMAN, ALLEMAN, HWY. 345, ALLEMAN. BEING LOT 3 OF SKETCH. LOCATED IN SEC. 94 T 11 S,R 7 E. ACQ: MARTHA A. LEJEUNE-2000 (1202-626)</t>
  </si>
  <si>
    <t>RAYMOND DOUCET</t>
  </si>
  <si>
    <t>Po Box 787, Loreauville, LA 70552</t>
  </si>
  <si>
    <t>https://www.civicsource.com/IBS25378</t>
  </si>
  <si>
    <t>Coteau Holmes Rd, LA</t>
  </si>
  <si>
    <t>UNDIVIDED INTEREST OF : 100% IN: 1-205/200 X 320 LEJEUNE, PEDERSEN, HWY. 345, ALLEMAN. BEING LOT 2 OF SKETCH. LOCATED IN SEC 94, T11S, R7E ACQ: JOSEPH B. ALLEMAN-2000 (1202-626)</t>
  </si>
  <si>
    <t>https://www.civicsource.com/IBS24888</t>
  </si>
  <si>
    <t>Coteau Holmes Rd, Jeanerette, LA</t>
  </si>
  <si>
    <t>UNDIVIDED INTEREST OF : 100% IN: 1-145/140 X 320 ALLEMAN, LEJEUNE, HWY 345, ALLEMAN BEING LOT 4 OF SKETCH. LOCATED IN SEC 94, T11S, R7E ACQ: MORGAN ALLEMAN-2000 (1202-626)</t>
  </si>
  <si>
    <t>https://www.civicsource.com/IBS24365</t>
  </si>
  <si>
    <t>UNDIVIDED INTEREST OF : 100% IN: 1-130/125 X 320 BOURQUE, LOT 4, HWY. 345, ALLEMAN. BEING LOT 5 OF SKETCH. LOCATED IN SEC 94, T11S, R7E ACQ: ELAINE *ALLEMAN* MARTIN-2000 (1202-626)</t>
  </si>
  <si>
    <t>https://www.civicsource.com/IBS23315</t>
  </si>
  <si>
    <t>410 Valley View St, LA</t>
  </si>
  <si>
    <t>UNDIVIDED INTEREST OF : 1% IN: 1- 43/129/45 X 191/145 BEING LOT 66 SUMMERFIELD SUB LOCATED IN SEC 12 &amp; 13, T12S, R7E ACQ: MANUEL BUILDERS - 2013 (1518-919) ACQ: WINCHELL R DERBIGNEY ACQ 1% INT OF AMY M MESSA FOR NON PAYMENT OF 2014 CITY TAXES - 2015 (1586-392)</t>
  </si>
  <si>
    <t>WINCHELL R DERBIGNEY</t>
  </si>
  <si>
    <t>4005 E Old Spanish Tr, D16, New Iberia, LA 70560</t>
  </si>
  <si>
    <t>https://www.civicsource.com/IBS23229</t>
  </si>
  <si>
    <t>410 1/2 Robertson St, LA</t>
  </si>
  <si>
    <t>UNDIVIDED INTEREST OF : 100% IN: 1-50 X 150 ITEM 1 LOURD, LOURD, TAYLOR, BADEAUX. BEING LOT 13, SQ. 27, LOURD ADD. ACQ: KATHERINE 'KOCH' THEALL, ETAL- 2009 (1437-815)</t>
  </si>
  <si>
    <t>A &amp; A RENTAL PROPERTIES LLC</t>
  </si>
  <si>
    <t>1519 Mullins Rd, New Iberia, LA 70563</t>
  </si>
  <si>
    <t>https://www.civicsource.com/CNI10367</t>
  </si>
  <si>
    <t>Maumus St, LA</t>
  </si>
  <si>
    <t>UNDIVIDED INTEREST OF : 100% IN: 1- 32.5 X 100 LOT 4, MAUMUS ST, PART LOT 15, LOT 16 BEING THE W-32.5' LOT 15, BLK 306-A, IBERIA PARK SUB ACQ: SANDRA BARRERA ROMERO - 2018 (1654-329)</t>
  </si>
  <si>
    <t>EDWIN JOSE ACEVEDO RIVERA</t>
  </si>
  <si>
    <t>601 Maumus St, New Iberia, LA 70560</t>
  </si>
  <si>
    <t>https://www.civicsource.com/CNI9951</t>
  </si>
  <si>
    <t>UNDIVIDED INTEREST OF : 100% IN: 1-225/220 X 320 ALLEMAN, ROAD, HWY 345, ALLEMAN. BEING LOT 1 OF SKETCH. LOCATED IN SEC. 94 T 11 S,R 7 E ACQ: DEBORAH PEDERSEN-2000 (1202-626)</t>
  </si>
  <si>
    <t>https://www.civicsource.com/IBS24703</t>
  </si>
  <si>
    <t>226 Johnson Aly, LA</t>
  </si>
  <si>
    <t>UNDIVIDED INTEREST OF : 100% IN: 1-48 X 90 JOHNSON ALLEY, WELCOME, BATISTE, HENRY ACQ: SUCC JULIA JEANNETTE SMITH - 1985 (881-334)</t>
  </si>
  <si>
    <t>NAOMI GADDISON GAINOUS</t>
  </si>
  <si>
    <t>248 Rosier Street, New Iberia, LA 70560</t>
  </si>
  <si>
    <t>https://www.civicsource.com/CNI10210</t>
  </si>
  <si>
    <t>George Sigue Rd, LA</t>
  </si>
  <si>
    <t>UNDIVIDED INTEREST OF : 31% IN: 7.05 AC... PARISH ROAD 902, BERNARD, LOT 4, LOTS 1 &amp; 2 BEING LOT 3 OF A PARTITION OF THE PROPERTY OF THE EST OF WILLIE PESSON LOCATED IN SEC 24, T12S, R5E &amp; SEC 19, T12S, R6E ACQ: ACT OF PARTITION-LESTER P PESSON ETAL - 1978 (682-1075) ACQ: SUCC OF LEROY J PESSON - 2017 (1626-132) ACQ: BLUEJAY RENTALS LLC ACQUIRED 69% THRU TAX SALE FOR NON PAYMENT OF 2018 PARISH TAXES - 2019 (1668-719)</t>
  </si>
  <si>
    <t>https://www.civicsource.com/IBS24475</t>
  </si>
  <si>
    <t>Captain Cade Rd, LA</t>
  </si>
  <si>
    <t>UNDIVIDED INTEREST OF : 100% IN: 3.47 AC.... ROMERO ETAL AND TRACT 5, TUCKER, TRACT 2, ROMERO ETAL BEING PART OF TRACT 1-A OF PLAT LOCATED IN SEC 22, T11S, R5E ACQ: ROBIN JUDE ROSALIE HEDGE THRU PARTITION - 2017 (1631-936)</t>
  </si>
  <si>
    <t>KERRY JON EDITH HEDGE TUCKER</t>
  </si>
  <si>
    <t>4114 Captain Cade Rd, Youngsville, LA 70592</t>
  </si>
  <si>
    <t>https://www.civicsource.com/IBS23767</t>
  </si>
  <si>
    <t>Ann St, Jeanerette, LA</t>
  </si>
  <si>
    <t>https://www.civicsource.com/IBS24701</t>
  </si>
  <si>
    <t>607 Lake Dauterive Rd, LA</t>
  </si>
  <si>
    <t>UNDIVIDED INTEREST OF : 100% IN: 1-17 X 120/117 ITEM #4 BROUSSARD, HWY. 345, BROUSSARD, BROUSSARD LOCATED IN SEC. 27, T 11S, R 7 E ACQ: ACT OF EXCHANGE WITH ALBERT A. BROUSSARD, JR.-1977-(678-893) ACQ: ACQUIRED INT. OF JEANNE B. BROUSSARD THRU SUCC. - 1990 (1001-649) ACQ: JEFFREY MILES BROUSSARD, ALISON KAY BROUSSARD AND ASHLIE MICHELLE BROUSSARD BOUTTE ACQ INT OF ALBERT A BROUSSARD JR THRU SUCC - 2015 (1590-768)</t>
  </si>
  <si>
    <t>ALBERTA A BROUSSARD SR</t>
  </si>
  <si>
    <t>607 Lake Dauterive Road, Loreauville, LA 70552</t>
  </si>
  <si>
    <t>https://www.civicsource.com/IBS23509</t>
  </si>
  <si>
    <t>506 Hubertville Rd, LA</t>
  </si>
  <si>
    <t>UNDIVIDED INTEREST OF : 100% IN: 1-34 X 65 ROAD, ROMAN, ROMAN, CHURCH ACQ: MYRNA MARIE ROMAN FONDAL THRU DONATION - 2011 (1485-636)</t>
  </si>
  <si>
    <t>MELANIE K SPILLER</t>
  </si>
  <si>
    <t>506 Hubertville Rd, Jeanerette, LA 70544</t>
  </si>
  <si>
    <t>https://www.civicsource.com/IBS23932</t>
  </si>
  <si>
    <t>Elizabeth St, LA</t>
  </si>
  <si>
    <t>UNDIVIDED INTEREST OF : 100% IN: 1-50 X 110 LOT 24, LOT 26, ELIZABETH STREET, LOT 3 BEING LOT 25, BLK B, WEST NEW IBERIA LAND COMPANY ACQ: BRENDA DAVIS PLACIDE THRU DONATION - 2017 (1630-736)</t>
  </si>
  <si>
    <t>CHARLES JOSEPH PLACIDE JR</t>
  </si>
  <si>
    <t>1606 Crestwell St, New Iberia, LA 70560</t>
  </si>
  <si>
    <t>https://www.civicsource.com/CNI10949</t>
  </si>
  <si>
    <t>Morning Glory, LA</t>
  </si>
  <si>
    <t>UNDIVIDED INTEREST OF : 100% IN: 2.45 AC... HWY. 25, CURTIS, LOT 6, LOT 8 BEING THE PRIVATE RD - MORNING GLORY LOCATED IN SEC 22, T12S, R6E ACQ: ROBERT CURTIS 1950 (191-523) ACQ: KEVIN BOUTTE &amp; EILEEN ZIMMERMANN ACQ INT OF JAMES BOUTTE THRU SUCC - 2017 (1635-137)</t>
  </si>
  <si>
    <t>EVELYN CHAUVIN BOUTTE</t>
  </si>
  <si>
    <t>2113 Morning Glory, New Iberia, LA 70560</t>
  </si>
  <si>
    <t>https://www.civicsource.com/IBS24226</t>
  </si>
  <si>
    <t>714 Weeks Island Rd, Delcambre, LA</t>
  </si>
  <si>
    <t>UNDIVIDED INTEREST OF : 100% IN: 1-117/106 X 150 PART LOT 10, LOUISIANA DR EAST, HWY. 157 LOT 12 BEING ALL LOT 11 &amp; S-20' LOT 10, BLK. 3, KRAMER SUB LOCATED IN SECS 2 &amp; 27, T 12 S,R 6 E IMP (714 WEEKS ISLAND RD) ACQ: MAXINE ARMENTOR THRU COUMMITY PARTITON - 1995 (1102-406) ACQ: LAWRENCE ARMENTOR JR LIVING TRUST THRU TRANSFER - 2009 (1439-784) ACQ: MARY LOU JOHNSON ARMENTOR ACQ 1/2 INT OF LAWRENCE ARMENTOR JR THRU DONATION - 2009 (1446-429)</t>
  </si>
  <si>
    <t>LAWRENCE ARMENTOR JR</t>
  </si>
  <si>
    <t>714 Weeks Island Road, New Iberia, LA 70560</t>
  </si>
  <si>
    <t>https://www.civicsource.com/IBS24066</t>
  </si>
  <si>
    <t>707 Twenty Arpent Rd, LA</t>
  </si>
  <si>
    <t>UNDIVIDED INTEREST OF : 100% IN: 1-48/40 X 127/137 LOT 10, TWENTY ARPENT RD, PART LOTS 11 &amp; 12, LOTS 13, 14, 15. BEING PART LOTS 11 &amp; 12, BLK 18, LEWIS ADD ACQ: JOSEPH DAVIS - 1991 (1020-206)</t>
  </si>
  <si>
    <t>LORRAINE SPARROW</t>
  </si>
  <si>
    <t>https://www.civicsource.com/CNI10791</t>
  </si>
  <si>
    <t>504 Corinne St, New Iberia, LA</t>
  </si>
  <si>
    <t>UNDIVIDED INTEREST OF : 100% IN: 1- 30 X 50 FREMIN, LEGNON, CORINNE ST., LOT 7. ACQ: MARY FREMIN MENARD- 2002 (1244-896)</t>
  </si>
  <si>
    <t>MATTIE JAMES</t>
  </si>
  <si>
    <t>1117 Lombard St, New Iberia, LA 70560</t>
  </si>
  <si>
    <t>https://www.civicsource.com/IBS24970</t>
  </si>
  <si>
    <t>112 Parker St, LA</t>
  </si>
  <si>
    <t>UNDIVIDED INTEREST OF : 100% IN: 0.788 AC..... LEWIS, KNATT, BLUFF TOWN SUBD, PARKER ST LOCATED IN SEC 10, T12S, R6E IMP (112 PARKER ST) ITEM 2 ACQ: RONALD DAY SR ETAL - 2010 (1471-217) IMP (M/H - 112 PARKER ST) ITEM 3</t>
  </si>
  <si>
    <t>SHARON ANN DAY</t>
  </si>
  <si>
    <t>112 Parker St, New Iberia, LA 70563</t>
  </si>
  <si>
    <t>https://www.civicsource.com/IBS25210</t>
  </si>
  <si>
    <t>Commercial Dr, LA</t>
  </si>
  <si>
    <t>UNDIVIDED INTEREST OF : 100% IN: 0.051 AC (130 X 17) PART LOT 11, LOT 12, INDUSTRIAL PKWY, POIRRIER BEING A PORTION OF LOT 11, BLOCK 1, INDUSTRIAL SQUARE LOCATED IN SEC. 34, T 12 S,R 6 E. ACQ: WENDY A POIRRIER - 2019 (1667-93)</t>
  </si>
  <si>
    <t>J I G MACHINE WORKS INC</t>
  </si>
  <si>
    <t>Po Box 2686, Morgan City, LA 70381-2686</t>
  </si>
  <si>
    <t>https://www.civicsource.com/IBS24813</t>
  </si>
  <si>
    <t>304 Deare St, Loreauville, LA</t>
  </si>
  <si>
    <t>UNDIVIDED INTEREST OF : 2% IN: 1-74 X 130 LOT 8, LOT 10, DEARE ST, LOT 11. BEING LOT 9, TWIN CIRCLE SUB. IMP (304 DEARE ST.) ACQ: MERCEDES BAREFOOT *WALKER* WEEKLY -2001 (1221-200) ACQ: MIDWEST MGMT/BMO HARRIS ACQ 1% INT OF CHARLES MCCALLISTER JR THRU TAX SALE FOR NON PAYMENT OF 2013 PARISH TAXES - 2014 (1561-288) ACQ: MIDWEST MGMT/BMO HARRIS ACQ 1% INT OF CHARLES MCCALLISTER JR THRU TAX SALE FOR NON PAYMENT OF 2013 CITY TAXES - 2014 (1561-501) ACQ: MIDWEST MGMT/BMO HARRIS ACQ 1% INT OF CHARLES MCCALLISTER JR THRU TAX SALE FOR NON PAYMENT OF 2014 CITY TAXES - 2015 (1585-345)</t>
  </si>
  <si>
    <t>MIDWEST MANAGEMENT/BMO HARRIS</t>
  </si>
  <si>
    <t>Po Box 1414, Minneapolis, MN 55480</t>
  </si>
  <si>
    <t>https://www.civicsource.com/IBS24107</t>
  </si>
  <si>
    <t>504 E Pearl St, New Iberia, LA</t>
  </si>
  <si>
    <t>UNDIVIDED INTEREST OF : 100% IN: 1- 50 X 125 PEARL ST, LOT 9, LOT 4, LOT 2 BEING LOT 3, BLK 10, BOURQUE ADD ACQ. LEONCE TAUZIN - 1963 (418-2) ACQ: EUGENE BODIN ACQ INT OF LOUELLA T BODIN THRU DONATION - 2013 (1522-858) ACQ: AFFIDAVIT OF CORRECTION - 2013 (1534-282)</t>
  </si>
  <si>
    <t>JESSIE BODIN</t>
  </si>
  <si>
    <t>504 Pearl St, Delcambre, LA 70528</t>
  </si>
  <si>
    <t>https://www.civicsource.com/IBS23668</t>
  </si>
  <si>
    <t>Colgin St, LA</t>
  </si>
  <si>
    <t>UNDIVIDED INTEREST OF : 100% IN: 1-70 X 120 LOT 10, LOT 8, COLGIN ST, RUTTEN ADD BEING LOT 9 OF COLGIN SUB ACQ: ALLEN P MCDONALD THRU DONATION - 2010 (1467-318)</t>
  </si>
  <si>
    <t>https://www.civicsource.com/CNI10476</t>
  </si>
  <si>
    <t>Hwy 14, LA</t>
  </si>
  <si>
    <t>UNDIVIDED INTEREST OF : 100% IN: 5.00 AC... HWY 14, GLAUBRECHT, DUHON, TRACT 1. BEING TRACT 2 OF PLAT. LOCATED IN SEC 65, T 12 S, R 5 E. ACQ: BRIAN C DUHON ETAL THRU PARTITION - 1998 (1164-187)</t>
  </si>
  <si>
    <t>GREG JAMES DUHON</t>
  </si>
  <si>
    <t>315 Woodrich Ln, Lafayette, LA 70507</t>
  </si>
  <si>
    <t>https://www.civicsource.com/IBS23236</t>
  </si>
  <si>
    <t>Arton St, Jeanerette, LA</t>
  </si>
  <si>
    <t>UNDIVIDED INTEREST OF : 100% IN: 1- 50 X 81 BRANCH, ARTON ST, BROWN, BRADLEY ACQ: BLANCHE BROWN - 1983 (818-670) ACQ: TOMMY ANTHONY LEWIS SR ACQ INT OF MAGGIE ROMANCE LEWIS THRU SUCC - 2012 (1497-836)</t>
  </si>
  <si>
    <t>ELIJAH RAY LEWIS</t>
  </si>
  <si>
    <t>607 Baker St, Jeanerette, LA 70544</t>
  </si>
  <si>
    <t>https://www.civicsource.com/IBS23041</t>
  </si>
  <si>
    <t>Colleen St, LA</t>
  </si>
  <si>
    <t>UNDIVIDED INTEREST OF : 100% IN: 1-50 X 130 COLLEEN ST, LOT 49, LOT 59, LOT 61 BEING LOT 60, SCOTTISH ACRES ACQ: ALLEN P MCDONALD THRU DONATION - 2010 (1467-318)</t>
  </si>
  <si>
    <t>https://www.civicsource.com/CNI10483</t>
  </si>
  <si>
    <t>Mcdonald St, LA</t>
  </si>
  <si>
    <t>UNDIVIDED INTEREST OF : 100% IN: 1-50 X 130 W-50' OF LOT 57, MCDONALD ST, E-25' OF LOT 52, LOT 51 BEING THE W-50' OF LOT 52 OF SCOTTISH ACRES SUB ACQ: ALLEN P MCDONALD THRU DONATION - 2010 (1467-318)</t>
  </si>
  <si>
    <t>https://www.civicsource.com/CNI10481</t>
  </si>
  <si>
    <t>210 Dark Aly, Loreauville, LA</t>
  </si>
  <si>
    <t>UNDIVIDED INTEREST OF : 100% IN: 1-46 X 50 DELAHOUSSAYE, LEBLANC, VIATOR, HART ACQ: MODEST VIATOR ADAMS - 1918 - (90-147) SOLD TO NEWTON THOMPSON FOR 1984 CITY TAXES - 1984 (850-506) SOLD TO CITY OF NI FOR 1993 CITY TAXES - 1994 (1078-647) SOLD TO CITY OF NI FOR 1994 CITY TAXES - 1995 (1096-536) SOLD TO CITY OF NI FOR 1995 CITY TAXES - 1996 (1119-831) SOLD TO CITY OF NI FOR 1996 CITY TAXES - 1997 (1142-305) SOLD TO CITY OF NI FOR 1997 CITY TAXES - 1998 (1160-66) SOLD TO CITY OF NI FOR 1998 CITY TAXES - 1999 (1179-456) SOLD TO GERTRUDE CHARLES JOHNSON FOR 1999 CITY TAXES - 2000 (1200-58) SOLD TO CITY OF NI FOR 2000 PARISH TAXES - 2001 (1218-466) SOLD TO CITY OF NI FOR 2001 CITY TAXES - 2002 (1242-708)</t>
  </si>
  <si>
    <t>MARY VIATOR CHARLES &amp; GERTRUDE JOHNSON</t>
  </si>
  <si>
    <t>1605 Adam St, New Iberia, LA 70560</t>
  </si>
  <si>
    <t>https://www.civicsource.com/IBS25073</t>
  </si>
  <si>
    <t>KENNETH ESTILETTE ESTATE</t>
  </si>
  <si>
    <t>51 Gajan St, New Iberia, LA 70560</t>
  </si>
  <si>
    <t>https://www.civicsource.com/IBS24610</t>
  </si>
  <si>
    <t>210 N Canal St, LA</t>
  </si>
  <si>
    <t>UNDIVIDED INTEREST OF : 100% IN: 1-71 X 110/104 GARY, DEGRAVELLE, LEBLANC, CANAL ST IMP (210 N CANAL ST) ACQ: CHRISTOPHER ORY PATOUT - 1977 (676-9) ACQ: MORRIS J CHARPENTIER, BARBARA WHITFIELD DERISE &amp; SALLY MIRE STIBBINS ACQ INT OF LEONA CHARPENTIER MIRE &amp; FREDDY J MIRE THRU SUCC - 2007 (1367-857) ACQ: DEWY DANIEL DERISE JR &amp; MORRIS J CHARPENTIER ACQ INT OF BARBARA WHITFIELD DERISE THRU SUCC - 2007 (1368-686) ACQ: MORRIS J CHARPENTIER ACQ INT OF DEWY D DERISE JR THRU DONATION - 2007 (1369-634)</t>
  </si>
  <si>
    <t>MORRIS J CHARPENTIER</t>
  </si>
  <si>
    <t>210 N Canal St, Jeanerette, LA 70544</t>
  </si>
  <si>
    <t>https://www.civicsource.com/IBS24223</t>
  </si>
  <si>
    <t>614 Emery Lewis Ave, LA</t>
  </si>
  <si>
    <t>UNDIVIDED INTEREST OF : 100% IN: 1- 38/10 X 230 JACOBS, EMERY LEWIS AVE, SIMON, LYONS ACQ: HAROLD JONES SR AND JOHN BERRYJONES ACQ INT OF ZULA MAE SIMON THRU SUCC - 2018 (1643-400) ACQ: HAROLD JONES SR, JOHN B JONES, GERALDINE S BOUDREAUX, KEVIN C VITTO &amp; MICHAEL R VITTO ACQ INT OF ZULA MAE SIMON THRU SUCC - 2018 (1654-538)</t>
  </si>
  <si>
    <t>GERALDINE SIMON BOUDREAUX</t>
  </si>
  <si>
    <t>727 S Lassalle St, New Iberia, LA 70560</t>
  </si>
  <si>
    <t>https://www.civicsource.com/CNI9950</t>
  </si>
  <si>
    <t>305 Tripeaux Ln, LA</t>
  </si>
  <si>
    <t>UNDIVIDED INTEREST OF : 100% IN: 1- 100 X 54 ROAD, MCHUGH, TRIPEAUX, TRIPEAUX. BEING N-PART LOT 2 OF SURVEY. LOCATED IN SEC 82, T 11 S, R 7 E IMP. (305 TRIPEAUX LANE) ACQ: INT OF LOVENIA TRIPEAUX - 1962 - (418-451) ACQ: INT OF LLOYD TRIPEAUX -1964 (444-512)</t>
  </si>
  <si>
    <t>JULES VICTOR TRIPEAUX</t>
  </si>
  <si>
    <t>6419 Harden St, New Iberia, LA 70560</t>
  </si>
  <si>
    <t>https://www.civicsource.com/IBS25162</t>
  </si>
  <si>
    <t>414 Cypress Ln, Delcambre, LA</t>
  </si>
  <si>
    <t>UNDIVIDED INTEREST OF : 100% IN: 1- 50 X 94 HAINES, ADAMS, ANDREWS, JACKSONTOWN RD LOCATED IN SEC 50, T13S, R8E ACQ: JOSEPH &amp; FANNIE W HURST ACQ INT OF RICHARD ALLEN HURST - 1982 (794-672) ACQ: WESTLEY MOORE JR ACQ INT OF FANNIE WESTLEY HURST THRU SUCC - 1986 (906-856) ACQ: FELICIA HURST ACQ 1/2 INT OF JOSEPH HURST THRU SUCC - 1987 (938-561) ACQ: WESLEY MOORE GRANTED USUFRUCT OF 1-25 X 94 BY FELICIA HURST - 1998 (1167-110)</t>
  </si>
  <si>
    <t>FELICIA HURST</t>
  </si>
  <si>
    <t>Po Box 875, Jeanerette, LA 70544</t>
  </si>
  <si>
    <t>https://www.civicsource.com/IBS24062</t>
  </si>
  <si>
    <t>715 A Twenty Arpent Rd, LA</t>
  </si>
  <si>
    <t>UNDIVIDED INTEREST OF : 100% IN: 1-60/63 X 168/146 BENNET, TWENTY ARPENT RD, WELCOME, THIBODEAUX BEING LOT 10, LEE &amp; LEWIS ADD. &amp; BEING LOT 12, BLK 392, CITY MAP ACQ: JUDGMENT (MONITION) - 2016 (1615-404)</t>
  </si>
  <si>
    <t>PAP'S INC</t>
  </si>
  <si>
    <t>6503 Hwy 14, New Iberia, LA 70560</t>
  </si>
  <si>
    <t>https://www.civicsource.com/CNI10375</t>
  </si>
  <si>
    <t>Edna St, LA</t>
  </si>
  <si>
    <t>UNDIVIDED INTEREST OF : 100% IN: 1-100 X 100 BEING LOTS 5 &amp; 6, BLK 22, LEWIS ADD. SOLD TO MICHAEL JONES FOR 1996 CITY TAXES - 1997 (1143-358)</t>
  </si>
  <si>
    <t>ISIAH SMITH</t>
  </si>
  <si>
    <t>705 Edna St, New Iberia, LA 70560</t>
  </si>
  <si>
    <t>https://www.civicsource.com/CNI10777</t>
  </si>
  <si>
    <t>Tartan St, LA</t>
  </si>
  <si>
    <t>UNDIVIDED INTEREST OF : 100% IN: 1-?/78 X 110/103 TARTAN ST, CANAL, LOT 27, LOT 25 BEING LOT 26 OF SCOTTISH ACRES SUB ACQ: ALLEN P MCDONALD THRU DONATION - 2010 (1467-318)</t>
  </si>
  <si>
    <t>https://www.civicsource.com/CNI10474</t>
  </si>
  <si>
    <t>https://www.civicsource.com/IBS25159</t>
  </si>
  <si>
    <t>Dorsey Rd, Loreauville, LA</t>
  </si>
  <si>
    <t>UNDIVIDED INTEREST OF : 100% IN: 1- 50 X 121 LOT D, DAIGLE, HEBERT ESTATE, DORSEY RD BEING LOT E OF PLAT LOCATED IN SEC 7, T12S, R7E ACQ: CHARLES J NORMAN THRU IBERIA PARISH GOVERNMENT - 2018 (1650-7)</t>
  </si>
  <si>
    <t>AKIERRA S WILLIAMS</t>
  </si>
  <si>
    <t>1401 Pine St, Franklin, LA 70538</t>
  </si>
  <si>
    <t>https://www.civicsource.com/IBS24415</t>
  </si>
  <si>
    <t>410 1/2 Robertson St, Delcambre, LA</t>
  </si>
  <si>
    <t>https://www.civicsource.com/IBS24391</t>
  </si>
  <si>
    <t>UNDIVIDED INTEREST OF : 100% IN: 1-75 X 130 COLLEEN ST, LOT 44 &amp; PART LOT 45, PART LOT 64, LOT 66 BEING LOT 65 &amp; THE W-25' LOT 64, SCOTTISH ACRES ACQ: ALLEN P MCDONALD THRU DONATION - 2010 (1467-318)</t>
  </si>
  <si>
    <t>https://www.civicsource.com/CNI10479</t>
  </si>
  <si>
    <t>UNDIVIDED INTEREST OF : 100% IN: 1-75 X 130 COLLEEN ST., LOT 46 &amp; PART LOT 45, LOT 62, PART LOT 64 BEING LOT 63 &amp; E-25' LOT 64 SCOTTISH ACRES ACQ: ALLEN P MCDONALD THRU DONATION - 2010 (1467-318)</t>
  </si>
  <si>
    <t>https://www.civicsource.com/CNI10480</t>
  </si>
  <si>
    <t>College Rd, LA</t>
  </si>
  <si>
    <t>UNDIVIDED INTEREST OF : 100% IN: 1-190 X 120 SCHEXNAYDER, DELAHOUSSAYE, BAYOU, LOT F BEING LOT G OF PLAT ACQ: THRU PARTITION CATHERINE O OLIVIER ETAL - 1976 (629-206)</t>
  </si>
  <si>
    <t>BERNADETTE OLIVIER PROVOST</t>
  </si>
  <si>
    <t>1918 L-1 David Duboin Road, New Iberia, LA 70560</t>
  </si>
  <si>
    <t>https://www.civicsource.com/IBS23319</t>
  </si>
  <si>
    <t>Maumus St, New Iberia, LA</t>
  </si>
  <si>
    <t>EDWIIN JOSE ACEVEDO RIVERA</t>
  </si>
  <si>
    <t>https://www.civicsource.com/IBS23335</t>
  </si>
  <si>
    <t>E Pershing St, Delcambre, LA</t>
  </si>
  <si>
    <t>UNDIVIDED INTEREST OF : 100% IN: 0.11 AC... BEING LOT 2 OF PLAT LOCATED IN SEC 32, T12S, R5E ACQ: SUCC ALVIN THIBODEAUX- 2009 (1434-697) ACQ: 50% INT JANET T THIBODEAUX THRU DONATION - 2016 (1617-38) ACQ: DANE STEPHEN THIBODEAUX ACQ INT OF ERIC JOHN THIBODEAUX THRU SUCC - 2018 (1648-156) ACQ: SHELLEY T MIGUES, PHILLIP ANTHONY THIBODEAUX AND MARY JANET T DUHON ACQ INT OF DANE STEPHEN THIBODEAUX - 2018 (1648-164) ACQ: INT OF SHELLEY T MIGUES AND PHILLIP ANTHONY THIBODEAUX THRU DONATION - 2018 (1648-739)</t>
  </si>
  <si>
    <t>MARY JANET THIBODEAUX DUHON</t>
  </si>
  <si>
    <t>Po Box 2106, Abbeville, LA 70511</t>
  </si>
  <si>
    <t>https://www.civicsource.com/IBS24735</t>
  </si>
  <si>
    <t>Old La 25, LA</t>
  </si>
  <si>
    <t>UNDIVIDED INTEREST OF : 100% IN: 1-100 X 96/77 R.R.R/W, ROAD, LEBLANC, LEBLANC. LOCATED IN SEC 33, T 12 S, R 5 E ACQ: SUCC OCTA 'FIRMAN' GALTIER- 2006 (1333-131)</t>
  </si>
  <si>
    <t>CRYSTAL GALTIER</t>
  </si>
  <si>
    <t>317 S Bourque St, Delcambre, LA 70528-4501</t>
  </si>
  <si>
    <t>https://www.civicsource.com/IBS24459</t>
  </si>
  <si>
    <t>2120 C St, LA</t>
  </si>
  <si>
    <t>UNDIVIDED INTEREST OF : 100% IN: 1-50 X 141 LOT 119, LOT 121, BONIN, 'C ' STREET. BEING LOT 120, BLK. 8, BONIN SUB.# 3 LOCATED IN SECS 20 &amp; 93, T11S, R7E ACQ: WILLIE J. BONIN THRU VIRGIN J. KNOTT THRU EXCHANGE-1963 ACQ: WILLIE J BONIN THRU VIRGIN J KNOTT THRU EXCHANGE-1963-(416-247)</t>
  </si>
  <si>
    <t>RAYMOND JOSEPH GLOUD</t>
  </si>
  <si>
    <t>Po Box 853, Loreauville, LA 70552</t>
  </si>
  <si>
    <t>https://www.civicsource.com/IBS24130</t>
  </si>
  <si>
    <t>226 Johnson Aly, Loreauville, LA</t>
  </si>
  <si>
    <t>248 Rosier St, New Iberia, LA 70560</t>
  </si>
  <si>
    <t>https://www.civicsource.com/IBS24772</t>
  </si>
  <si>
    <t>622 Colleen St, LA</t>
  </si>
  <si>
    <t>UNDIVIDED INTEREST OF : 100% IN: 1- 37 X 142/136 DRAINAGE CANAL, LOT 31, LOT 31, PART LOT 32 BEING LOT 32-A OF PLAT OF SURVEY DATED 12/20/1982 LOCATED IN EASTERN PORTION OF IRREGULAR SEC 10, T12S, R6E ACQ: GWINNIE MCDONALD BROUSSARD -1982 (807-6) IMP (M/H - 622 COLLEEN ST)</t>
  </si>
  <si>
    <t>ALCIDE T BOUDREAUX</t>
  </si>
  <si>
    <t>624 Colleen St, New Iberia, LA 70563</t>
  </si>
  <si>
    <t>https://www.civicsource.com/IBS24568</t>
  </si>
  <si>
    <t>420 Calhoun St, LA</t>
  </si>
  <si>
    <t>UNDIVIDED INTEREST OF : 100% IN: 1- 52 X 85 PART LOT 9, CALHOUN ST, PART LOT 8, PERSHING ST BEING S-85' LOT 9, CALHOUN SUB SOLD TO CITY OF NI FOR 2002 CITY TAXES - 2003 (1266-198) ACQ: JAMES BOYANCE THRU DONATION - 2018 (1655-38)</t>
  </si>
  <si>
    <t>CRAIG CAYDAN JAMES VALLIER</t>
  </si>
  <si>
    <t>420 Calhoun St, New Iberia, LA 70560</t>
  </si>
  <si>
    <t>https://www.civicsource.com/IBS23467</t>
  </si>
  <si>
    <t>2001 St Charles St, LA</t>
  </si>
  <si>
    <t>UNDIVIDED INTEREST OF : 100% IN: 1- 75 X 88 ST CHARLES ST, LANDRY, LOUISIANA ST, GERAMI ACQ: EARL J SONNIER - 2016 (1615-116)</t>
  </si>
  <si>
    <t>ANGELA BOUY LANDRY</t>
  </si>
  <si>
    <t>148 Glenn/Becky Ln, Jeanerette, LA 70544</t>
  </si>
  <si>
    <t>https://www.civicsource.com/IBS24524</t>
  </si>
  <si>
    <t>6101 Lumea St, LA</t>
  </si>
  <si>
    <t>UNDIVIDED INTEREST OF : 100% IN: 1- 60 X 210 BOUDREAUX, LUMEA ST, MATTE, TEVAY LOCATED IN SEC 26, T13S, R7E ACQ: LILLIAN BROUSSARD ETAL - 2019 (1661-172)</t>
  </si>
  <si>
    <t>DONNY NORWOOD</t>
  </si>
  <si>
    <t>935 Center St, Lot 4, New Iberia, LA 70560</t>
  </si>
  <si>
    <t>https://www.civicsource.com/IBS24313</t>
  </si>
  <si>
    <t>604 Rosalie St, LA</t>
  </si>
  <si>
    <t>UNDIVIDED INTEREST OF : 100% IN: 2-100 X 90 LOT 3, HERN, ROMERO, ROSALIE ST BEING LOTS 1 &amp; 2, BLK 2, OLIVIER ADD IMP (604 ROSALIE ST) ACQ: LEDANNA L MINOR THRU DONATION - 1997 (1147-272) IMP (M/H - 604A ROSALIE ST)</t>
  </si>
  <si>
    <t>AARON MINOR</t>
  </si>
  <si>
    <t>7100 Chastant Rd, #2, New Iberia, LA 70560</t>
  </si>
  <si>
    <t>https://www.civicsource.com/CNI11038</t>
  </si>
  <si>
    <t>Rynella Rd, LA</t>
  </si>
  <si>
    <t>UNDIVIDED INTEREST OF : 100% IN: 8.97 AC... GLAPHION, TRACT 1, TRACT 7, ROAD #909 (RYNELLA RD). BEING TRACT 2 OF PLAT OF PARTITION. LOCATED IN SEC. 20, T 12 S, R 6 E ACQ: SUCC. OCTAVIE L. BROUSSARD THRU PARTITION - 1975 (616-455)</t>
  </si>
  <si>
    <t>THELMA BROUSSARD BOUTTE</t>
  </si>
  <si>
    <t>3104 St Anthony Ave, New Orleans, LA 70122-2954</t>
  </si>
  <si>
    <t>https://www.civicsource.com/IBS24558</t>
  </si>
  <si>
    <t>Pepsi Ln, LA</t>
  </si>
  <si>
    <t>UNDIVIDED INTEREST OF : 100% IN: 1-60 X 150 FONTENETTE, BAYOU TECHE, ROAD, ?. BEING PART LOT 1 OF PARTITION. ACQ: EST. AARON DAY THRU LUSTANIA DAY CARROLL-1957</t>
  </si>
  <si>
    <t>RUTH FONTENETTE</t>
  </si>
  <si>
    <t>Po Box 9172, New Iberia, LA 70560-9172</t>
  </si>
  <si>
    <t>https://www.civicsource.com/IBS25224</t>
  </si>
  <si>
    <t>https://www.civicsource.com/IBS24491</t>
  </si>
  <si>
    <t>1009 Eden St, LA</t>
  </si>
  <si>
    <t>UNDIVIDED INTEREST OF : 100% IN: 1- 50 X 50 EDEN ST, LOT 7, LOT 9, ? IMP (1009 EDEN ST) ACQ: HOME RESOURCES, LLC- 2006 (1339-607)</t>
  </si>
  <si>
    <t>https://www.civicsource.com/CNI10425</t>
  </si>
  <si>
    <t>5116 Old La 25, LA</t>
  </si>
  <si>
    <t>UNDIVIDED INTEREST OF : 100% IN: 1-169 X 220 (0.85 AC.) DELCAMBRE, PARISH ROAD 904, LABOUEF, DELCAMBRE. BEING THE SOUTHEASTERN PART OF A 2.82 AC. TRACT. LOCATED IN SEC. 67 T 12 S,R 6 E. RES (5116 OLD LA 25) ACQ: MARY E *DELCAMBRE* POMMIER THRU DONATION - 1998 (1153-546)</t>
  </si>
  <si>
    <t>ANGELA DELCAMBRE BONEY</t>
  </si>
  <si>
    <t>5116 Old La 25, New Iberia, LA 70560</t>
  </si>
  <si>
    <t>https://www.civicsource.com/IBS23493</t>
  </si>
  <si>
    <t>1201 Park Ave, LA</t>
  </si>
  <si>
    <t>UNDIVIDED INTEREST OF : 100% IN: 1-54/53 X 143/130 LOT 24, LOT 26, LOT 23, PARK AVE. BEING LOT 25 OF KILCHRIST SUB. IMP (1201 PARK AVE) ACQ: SUCC. LEONIDE D. BLACKETER-1994 (1067 679) ACQ: INT OF KEVIN ARMSTEAD THRU COMMUNITY PARTITION- 2002 (1253-217)</t>
  </si>
  <si>
    <t>THERESA JONES ARMSTEAD</t>
  </si>
  <si>
    <t>1201 Park Avenue, New Iberia, LA 70560</t>
  </si>
  <si>
    <t>https://www.civicsource.com/CNI9823</t>
  </si>
  <si>
    <t>https://www.civicsource.com/IBS23268</t>
  </si>
  <si>
    <t>729 Hebert St, LA</t>
  </si>
  <si>
    <t>UNDIVIDED INTEREST OF : 100% IN: 1-100 X 83.5 TAYLOR, ROMERO, HEBERT ST, ROMERO ETAL IMP (729 HEBERT ST.) MOBILE HOME (735 HEBERT ST) ACQ: HELEN T. SEGURA,ETAL-1981 (753-107) ACQ: AARON &amp; EFFIE MINOR ACQ INT OF LEDANNA L MINOR THRU DONATION- 2006 (1340-161) ACQ: CAWANDLYN MINOR BELL ACQUIRED 37.50% INT EFFIE M JAMES THRU DONATION - 2018 (1639-867)</t>
  </si>
  <si>
    <t>https://www.civicsource.com/CNI11039</t>
  </si>
  <si>
    <t>805 Canal St, LA</t>
  </si>
  <si>
    <t>UNDIVIDED INTEREST OF : 100% IN: 1- 70 X 151 LOT 22, TECHE ELECTRIC CO-OPERATIVE INC, CANAL ST, LOT 14 BEING LOT 23, BLK. 4-A BEAULLIEU ADD ACQ. NARAYANA P GOPAKUMAR - 2018 (1653-181)</t>
  </si>
  <si>
    <t>REJITH KUMAR R NAIR</t>
  </si>
  <si>
    <t>1301 Admiral Doyle Dr, New Iberia, LA 70560</t>
  </si>
  <si>
    <t>https://www.civicsource.com/IBS25291</t>
  </si>
  <si>
    <t>W Dale St, LA</t>
  </si>
  <si>
    <t>UNDIVIDED INTEREST OF : 100% IN: 1- 60 X 100 DALE ST, LOT 5, LOT 3, LOT 4 BEING LOT 4, BLK 1O CARTIMIGLIA ADD LOCATED IN SEC 38, T12S, R6E ACQ: LOUIS CARTIMIGLIA ETAL - 1998 (1159-127)</t>
  </si>
  <si>
    <t>DAVID KEITH ROMERO</t>
  </si>
  <si>
    <t>608 Evergreen Dr, New Iberia, LA 70560</t>
  </si>
  <si>
    <t>https://www.civicsource.com/IBS24290</t>
  </si>
  <si>
    <t>Teche Lake Rd, Jeanerette, LA</t>
  </si>
  <si>
    <t>UNDIVIDED INTEREST OF : 80% IN: 0.30 AC.. TECHE LAKE CANAL OR PARISH ROAD 804, LOTS 5, LOT H, LOT F BEING LOT G OF PLAT LOCATED IN SEC 8, T 12 S, R 8 E ACQ: ANDREW GONSOULIN, ETAL THRU PARTITION - 1985 (865-88) ACQ: ACT OF CORRECTION - 1987 (929-66) ACQ: DONALD J, EUGENE, RUSSELL, KENNETH AND GARY ESTILETTE ACQ INT OF ALICE GONSOULIN ESTILETTE THRU CORRECTION OF SUCC - 2010 (1448-893) ACQ: EDWARD ALLEN SORREL ACQ INT OF RUSSELL C ESTILETTE THRU CASH SALE - 2009 (1442-595) ACQ: GARY ESTILETTE ACQ INT OF DONALD &amp; EUGENE ESTILETTE THRU DONATION - 2011 (1481-895) ACQ: GARY ESTILETTE ACQ INT OF LAINEY MARTIN &amp; KENSEY L ESTILETTE THRU DONATION - 2011 (1481-899)</t>
  </si>
  <si>
    <t>GARY ESTILETTE</t>
  </si>
  <si>
    <t>709 E Santa Clara St, New Iberia, LA 70563</t>
  </si>
  <si>
    <t>https://www.civicsource.com/IBS23065</t>
  </si>
  <si>
    <t>1404 Copp Ave, Jeanerette, LA</t>
  </si>
  <si>
    <t>UNDIVIDED INTEREST OF : 100% IN: 1-74 X 130 LOT 3, MALLET, JENKINS, POIRSON. IMP (1404 COPP AVE)</t>
  </si>
  <si>
    <t>CASE ALEXANDER</t>
  </si>
  <si>
    <t>1404 Copp St, Jeanerette, LA 70544</t>
  </si>
  <si>
    <t>https://www.civicsource.com/IBS24377</t>
  </si>
  <si>
    <t>https://www.civicsource.com/IBS23301</t>
  </si>
  <si>
    <t>238 Johnson Aly, LA</t>
  </si>
  <si>
    <t>UNDIVIDED INTEREST OF : 100% IN: 1-50 X 100 JOHNSON ST, DUPERIER, LOT 4, LOT 3. BEING LOT 3, ERNEST BUTLER PARTITION. IMP (238 JOHNSON ALY)</t>
  </si>
  <si>
    <t>ELDRIDGE BUTLER</t>
  </si>
  <si>
    <t>238 Johnson Aly, New Iberia, LA 70560</t>
  </si>
  <si>
    <t>https://www.civicsource.com/CNI9963</t>
  </si>
  <si>
    <t>508 Fontelieu Dr, LA</t>
  </si>
  <si>
    <t>UNDIVIDED INTEREST OF : 100% IN: 1-60 X 135 LOT 12, LOT 14, FONTELIEU DR, PARTS LOT 3 &amp; 4. BEING LOT 13, BLK C, PART II, POURCAIU SUB. ACQ: COASTAL CREDIT CO. 1997 - (1139-464) IMP ( M/H 508 FONTELIEU DR) SOLD TO CITY OF N.I. FOR 1996 CITY TAXES IN THE NAME OF WILLIAM DEROUEN, JR.-1997 (1142-305) ACQ: ACT OF IMMOBILIZATION- 2004 (1292-889) ACQ: ACT OF CORRECTION- 2009 (1432-25)</t>
  </si>
  <si>
    <t>LIONEL PATIN</t>
  </si>
  <si>
    <t>5704 Old La 25, New Iberia, LA 70560</t>
  </si>
  <si>
    <t>https://www.civicsource.com/CNI10615</t>
  </si>
  <si>
    <t>701 Breaux Aly, LA</t>
  </si>
  <si>
    <t>UNDIVIDED INTEREST OF : 100% IN: 1-68 X 93 ROY, BAYARD, BREAUX ALLEY, MONEAUX. IMP (701 BREAUX ALLEY) ACQ: SAMUEL A. IRVIN, III - 1989 (962-115)</t>
  </si>
  <si>
    <t>JOSEPH HENRY</t>
  </si>
  <si>
    <t>701 Breaux Alley, New Iberia, LA 70560</t>
  </si>
  <si>
    <t>https://www.civicsource.com/CNI10291</t>
  </si>
  <si>
    <t>2015 Sidney Blanchard Rd, LA</t>
  </si>
  <si>
    <t>UNDIVIDED INTEREST OF : 6% IN: 3.13 AC.. BERARD, ROAD, JULIEN, JEANLOUIS BEING LOT 3 OF PARTITION LOCATED IN SEC 17, T 11 S, R 7 E IMP (2015 SIDNEY BLANCHARD RD) ACQ: DANIEL ARTHUR SIMON-1964-(430-189) ACQ: NICOLE SEGURA ACQ 94% INT OF ADAM SIMON THRU TAX SALE FOR NON PAYMENT OF 2018 PARISH TAXES - 2019 (1668-792)</t>
  </si>
  <si>
    <t>ADAM SIMON</t>
  </si>
  <si>
    <t>176 N Main St Ext, North East, MD 21901</t>
  </si>
  <si>
    <t>https://www.civicsource.com/IBS24448</t>
  </si>
  <si>
    <t>Tarleton St, LA</t>
  </si>
  <si>
    <t>UNDIVIDED INTEREST OF : 100% IN: 1- 53/55 X 150 MOURET, TARLETON ST, MOURET, MOURET BEING LOT 6, BLK 4, BOURQUE ACQ: BOYD J MOURET JR ETAL THRU ACT OF CORRECTION- 2001 (1212-537)</t>
  </si>
  <si>
    <t>https://www.civicsource.com/IBS23303</t>
  </si>
  <si>
    <t>Bourg St, Jeanerette, LA</t>
  </si>
  <si>
    <t>UNDIVIDED INTEREST OF : 100% IN: 1- 56/55 X 147 MOURET, BOURG ST., LEBLANC, MOURET BEING LOT 1, BLK 4, JEANERETTE LUMBER &amp; SHINGLE CO PROPERTY ACQ: BOYD MOURET, JR ETAL - 2001 (1212-256)</t>
  </si>
  <si>
    <t>1600 Douglass Rd, Anaheim, CA 92806</t>
  </si>
  <si>
    <t>https://www.civicsource.com/IBS24013</t>
  </si>
  <si>
    <t>Park Ave, Jeanerette, LA</t>
  </si>
  <si>
    <t>UNDIVIDED INTEREST OF : 100% IN: 1-40 X 150 LOT 2, LOT 1, LOT 10-A, PARK AVE. BEING LOT 1-A, BLK. 3, IBERIA PARK ASSOC. ACQ: JAMES LEO JOLIVET THRU DONATION-2000 (1200-725)</t>
  </si>
  <si>
    <t>RUBY JOLIVET DOUCET</t>
  </si>
  <si>
    <t>https://www.civicsource.com/IBS24685</t>
  </si>
  <si>
    <t>Chalfonte Crescent, LA</t>
  </si>
  <si>
    <t>UNDIVIDED INTEREST OF : 100% IN: 1 - 25 X 244 BEING LOT 6B BLK D, TECHE GARDENS SUB LOCATED IN SECS 9 &amp; 11, T12S, R7E ACQ: SYLVIA BROUSSARD SCHARFF ETALS - 1956 (295-442)</t>
  </si>
  <si>
    <t>BROADMOOR DEVELOPMENT CORPORATION</t>
  </si>
  <si>
    <t>208 Roumain Bldg, Baton Rouge, LA 70801</t>
  </si>
  <si>
    <t>https://www.civicsource.com/IBS24828</t>
  </si>
  <si>
    <t>924 Field St, LA</t>
  </si>
  <si>
    <t>UNDIVIDED INTEREST OF : 100% IN: 1-50 X 150 HWY, CASTILLE, REEDOM, FIELD ST ACQ: JAVAUGHN ANTONIO DOUCET AND JON'TRAE JAMES RHOADES THRU SHERYL DOUCET AND TAMMY RHOADES - 2010 (1456-461)</t>
  </si>
  <si>
    <t>DEVIN MICHAEL BOUTTE</t>
  </si>
  <si>
    <t>917 Field St, New Iberia, LA 70560</t>
  </si>
  <si>
    <t>https://www.civicsource.com/IBS23276</t>
  </si>
  <si>
    <t>4211 E Erice Cambell Rd, LA</t>
  </si>
  <si>
    <t>UNDIVIDED INTEREST OF : 100% IN: 1-149 X 429/437 (1.50 AC.) CAMPBELL RD, BOUDREAUX, LOPEZ, DEROUEN. LOCATED IN SEC. 4, T 13 S, R 5 E. ACQ: LYNN 'SHAW' FOLKINS- 2006 (1350-12)</t>
  </si>
  <si>
    <t>BRENNAN JAMES COMEAUX</t>
  </si>
  <si>
    <t>Po Box 582, Delcambre, LA 70528</t>
  </si>
  <si>
    <t>https://www.civicsource.com/IBS24317</t>
  </si>
  <si>
    <t>Jane St, LA</t>
  </si>
  <si>
    <t>UNDIVIDED INTEREST OF : 100% IN: 1-200/211 X 82/96 LOT 6, LOT 8, PART LOTS 16 &amp; 17, HWY 31 BEING LOT 7, BLK. 2, ACADIAN ACRES ADD ACQ: TRAVIS J SEGURA - 2010 (1467-506)</t>
  </si>
  <si>
    <t>CARL LEE HILL</t>
  </si>
  <si>
    <t>831 River Birch Rd, Opelousas, LA 70570</t>
  </si>
  <si>
    <t>https://www.civicsource.com/CNI10198</t>
  </si>
  <si>
    <t>Colgin St, Delcambre, LA</t>
  </si>
  <si>
    <t>https://www.civicsource.com/IBS24382</t>
  </si>
  <si>
    <t>411 Brian St, Jeanerette, LA</t>
  </si>
  <si>
    <t>https://www.civicsource.com/IBS24710</t>
  </si>
  <si>
    <t>301 Dugas Rd, LA</t>
  </si>
  <si>
    <t>UNDIVIDED INTEREST OF : 100% IN: 1-88 X 115 TRACT 8, LOT 8-C, DUGAS RD, TRACT 8. BEING LOT 8-D OF PLAT OF ANTOINE DUGAS EST. LOCATED IN SECS 10 &amp; 11, T 11 S,R 7 E. IMP (301 DUGAS RD) ACQ: PATRICK WOODMAN (809-202) THRU LAWYERS TITLE INSURANCE (813-565) THRU WILLIAM F. ORSON - 1983 (813-568)</t>
  </si>
  <si>
    <t>HENRY GREENWOOD ORSON</t>
  </si>
  <si>
    <t>3213 E Old Spanish Tr, Lot 2B, New Iberia, LA 70560</t>
  </si>
  <si>
    <t>https://www.civicsource.com/IBS24914</t>
  </si>
  <si>
    <t>408 Robertson St, LA</t>
  </si>
  <si>
    <t>UNDIVIDED INTEREST OF : 100% IN: 2-100 X 142 ITEM 2 LOT 16, MARIE, SANDERS &amp; MOSS, ROBERTSON ST. BEING LOTS 14, 15, BLK 319, CITY MAP. IMP (408 ROBERTSON ST.) ITEM 1 ACQ: KATHERINE 'KOCH' THEALL, ETAL- 2009 (1437-815)</t>
  </si>
  <si>
    <t>https://www.civicsource.com/CNI10366</t>
  </si>
  <si>
    <t>JANG WILLIAM</t>
  </si>
  <si>
    <t>https://www.civicsource.com/IBS24122</t>
  </si>
  <si>
    <t>408 W Dale St, LA</t>
  </si>
  <si>
    <t>UNDIVIDED INTEREST OF : 100% IN: 1-50 X 140 NEW IBERIA MILLING &amp; DEVELOPMENT CO.,DALE ST.,LOTS 5 &amp; 6, LOTS 1-2-3 BEING LOT 4, BLK. D, ARMENTOR SUB. IMP (408 W DALE ST) ACQ: LAWRENCE D MESTAYER -2016 (1599-337)</t>
  </si>
  <si>
    <t>DIL LY</t>
  </si>
  <si>
    <t>6607 John Lewis Rd, New Iberia, LA 70560</t>
  </si>
  <si>
    <t>https://www.civicsource.com/CNI10514</t>
  </si>
  <si>
    <t>Mcdonald St, Loreauville, LA</t>
  </si>
  <si>
    <t>https://www.civicsource.com/IBS24766</t>
  </si>
  <si>
    <t>https://www.civicsource.com/IBS24147</t>
  </si>
  <si>
    <t>Colleen St, Loreauville, LA</t>
  </si>
  <si>
    <t>UNDIVIDED INTEREST OF : 100% IN: 1-50 X 130 COLLEEN ST, LOT 50, LOT 58, LOT 60 BEING LOT 59 SCOTTISH ACRES SUB ACQ: ALLEN P MCDONALD THRU DONATION - 2010 (1467-318)</t>
  </si>
  <si>
    <t>https://www.civicsource.com/IBS24428</t>
  </si>
  <si>
    <t>1007 Eden St, LA</t>
  </si>
  <si>
    <t>UNDIVIDED INTEREST OF : 100% IN: 1- 40 X 50 EDEN ST, S/2 LOTS 5 &amp; 6, LOT 4, DELAHOUSSAYE. IMP. (1007 EDEN ST.) ACQ: HOME RESOURCES, LLC- 2006 (1339-607)</t>
  </si>
  <si>
    <t>https://www.civicsource.com/CNI10424</t>
  </si>
  <si>
    <t>224 Colgin St, LA</t>
  </si>
  <si>
    <t>UNDIVIDED INTEREST OF : 100% IN: 1- 50 X 120 LOT 5, LOT 3, 50' R/W, LOT 12 BEING LOT 4, COLGIN STREET ADD LOCATED IN SEC 38, T12S, R7E IMP (M/H - 224 COLGIN ST) ACQ: TIMOTHY C DECOUX - 2019 (1667-144)</t>
  </si>
  <si>
    <t>JODEEN FONTANA</t>
  </si>
  <si>
    <t>135 Holly St, Lafayette, LA 70501</t>
  </si>
  <si>
    <t>https://www.civicsource.com/CNI10688</t>
  </si>
  <si>
    <t>https://www.civicsource.com/IBS24212</t>
  </si>
  <si>
    <t>1104 Spencer Loop, LA</t>
  </si>
  <si>
    <t>UNDIVIDED INTEREST OF : 100% IN: 1-LOT 80/136 X 41/121 BEING LOT 42 OF CLETUS LANDRY SUB., PART II ACQ: THE NEW IBERIA BANK - 1991 (1006-277)</t>
  </si>
  <si>
    <t>SHIRLEY HOGAN</t>
  </si>
  <si>
    <t>338 Deare St #G-4, New Iberia, LA 70560</t>
  </si>
  <si>
    <t>https://www.civicsource.com/IBS23902</t>
  </si>
  <si>
    <t>137 W Dale St, Jeanerette, LA</t>
  </si>
  <si>
    <t>UNDIVIDED INTEREST OF : 100% IN: 1- 50 X 150 W. DALE ST., LOT 9, LOT 3, LOT 1 BEING LOT 2, BLK 376, CITY MAP. ACQ: SUCC. KATHERINE GASH MONTAGUE (MRS.FRED MONTAGUE) THRU GENEVA GASH HUREL-1977- (667-190)</t>
  </si>
  <si>
    <t>ESAU HERBERT</t>
  </si>
  <si>
    <t>1605 Iberia St, New Iberia, LA 70560</t>
  </si>
  <si>
    <t>https://www.civicsource.com/IBS25021</t>
  </si>
  <si>
    <t>Helm St, Loreauville, LA</t>
  </si>
  <si>
    <t>UNDIVIDED INTEREST OF : 50% IN: 1- 75 X 125 LOT 5, LOT 3, T &amp; C SUB., HELM ST BEING LOT 4, BLK S, BELAIR SUB LOCATED IN SEC 23, T12S, R7E ACQ: CLARENCE A. MESTAYER, JR THRU DOROTHY L MESTAYER - 1972 (571-974)</t>
  </si>
  <si>
    <t>GILBERT DOUGLASS JR</t>
  </si>
  <si>
    <t>401 Helm St, New Iberia, LA 70563</t>
  </si>
  <si>
    <t>https://www.civicsource.com/IBS25085</t>
  </si>
  <si>
    <t>Canal St, Jeanerette, LA</t>
  </si>
  <si>
    <t>UNDIVIDED INTEREST OF : 100% IN: 1 - 61/62 X 315/320 MORESI, LOT 8, A MORESI CO, LOT 1-5 BLK 2. ACQ: A MORESI CO THRU GEORGE P MORESI SR 1999 (1190-876)</t>
  </si>
  <si>
    <t>BURNELL BROUSSARD</t>
  </si>
  <si>
    <t>617 Cypremort St, Jeanerette, LA 70544</t>
  </si>
  <si>
    <t>https://www.civicsource.com/IBS25017</t>
  </si>
  <si>
    <t>412 Laurence St, Jeanerette, LA</t>
  </si>
  <si>
    <t>UNDIVIDED INTEREST OF : 100% IN: 1-100 X 110 LOT 42, LOT 51, LAURENCE ST., LOTS 44 &amp; 47 BEING LOTS 45 &amp; 48, LANDRY SUB. ACQ: CLEVE J DAIGLE JR - 2000 (1199-142) ACQ: C &amp; G BROUSSARD HOLDINGS LLC ACQ INT OF RUTH W MOUTON FOR NON PAYMENT OF 2014 PARISH TAXES - 2015 (1584-429)</t>
  </si>
  <si>
    <t>C &amp; G BROUSSARD HOLDINGS LLC</t>
  </si>
  <si>
    <t>100 W Tampico St, New Iberia, LA 70563</t>
  </si>
  <si>
    <t>https://www.civicsource.com/IBS24005</t>
  </si>
  <si>
    <t>719 Leblanc Aly, LA</t>
  </si>
  <si>
    <t>UNDIVIDED INTEREST OF : 100% IN: 1-45 X 85 CHANDLER, LEBLANC, SEGURA ALLEY IMP (719 LEBLANC ALY) ACQ: HOWARD LOPEZ - 1956</t>
  </si>
  <si>
    <t>LOTHER LOPEZ</t>
  </si>
  <si>
    <t>C/O John R Lopez, 912 Yvonne St, New Iberia, LA 70560</t>
  </si>
  <si>
    <t>https://www.civicsource.com/CNI10449</t>
  </si>
  <si>
    <t>Tarleton St, Jeanerette, LA</t>
  </si>
  <si>
    <t>UNDIVIDED INTEREST OF : 100% IN: 1- 100 X 110 LANDRY, TARLETON ST, MOURET, ODEON ST BEING PART LOTS 4 &amp; 5, BLK 4, BOURQUE SUB ACQ: BOYD J MOURET JR ETAL THRU ACT OF CORRECTION - 2001 (1212-537)</t>
  </si>
  <si>
    <t>https://www.civicsource.com/IBS25015</t>
  </si>
  <si>
    <t>722 Hopkins St, LA</t>
  </si>
  <si>
    <t>UNDIVIDED INTEREST OF : 100% IN: 1- 50 X 100 ITEM 2 LOT 11, LOT 13, HOPKINS ST, SIMON 1- 50 X 47 ITEM 3 LOT 11, LOT 13, SIMON, LOT 10 IMP (722 HOPKINS ST) ITEM 1 ACQ: HAROLD JONES SR AND JOHN BERRYJONES ACQ INT OF ZULA MAE SIMON THRU SUCC - 2018 (1643-400) ACQ: HAROLD JONES SR, JOHN B JONES, GERALDINE S BOUDREAUX, KEVIN C VITTO &amp; MICHAEL R VITTO ACQ INT OF ZULA MAE SIMON THRU SUCC - 2018 (1654-538)</t>
  </si>
  <si>
    <t>727 S Lasalle St, New Iberia, LA 70560</t>
  </si>
  <si>
    <t>https://www.civicsource.com/CNI10769</t>
  </si>
  <si>
    <t>223 St Mary St, LA</t>
  </si>
  <si>
    <t>UNDIVIDED INTEREST OF : 100% IN: 1-45 X 100 PART LOTS 9 &amp; 10, PART LOTS 11 &amp; 12, ST MARY ST, PART LOTS 8 &amp; 13 BEING S-15' LOT 9 &amp; 10 &amp; N-30' LOTS 11 &amp; 12, BLK 11, P A ROMERO SUB IMP (223 ST MARY ST) ACQ: P A ROMERO - 1953 ACQ: WILLIE HEBERT ACQ INT OF HELEN HEBERT, SHIRLEY SEGURA, TIGE HEBERT &amp; ANGELIC HEBERT THRU DONATION - 2001 (1221-98)</t>
  </si>
  <si>
    <t>OTTO HEBERT ESTATE</t>
  </si>
  <si>
    <t>223 St Mary St, New Iberia, LA 70560</t>
  </si>
  <si>
    <t>https://www.civicsource.com/CNI10279</t>
  </si>
  <si>
    <t>https://www.civicsource.com/IBS25242</t>
  </si>
  <si>
    <t>1610 Adam St, LA</t>
  </si>
  <si>
    <t>UNDIVIDED INTEREST OF : 100% IN: 1-60 X 114 LOT 5, ADAM ST, LOT 12, LOT 14. BEING LOT 13, BLK 3, WEST HIGHLAND SUB. IMP. (1610 ADAM ST.) ACQ: MICHAEL LASALLE- 2005 (1321-240)</t>
  </si>
  <si>
    <t>SOULATDA KEOPRASEUTH</t>
  </si>
  <si>
    <t>5801 Hwy 14, New Iberia, LA 70560</t>
  </si>
  <si>
    <t>https://www.civicsource.com/CNI10390</t>
  </si>
  <si>
    <t>11213 Old Jeanerette Rd, Loreauville, LA</t>
  </si>
  <si>
    <t>UNDIVIDED INTEREST OF : 100% IN: 1-87 X 160 BOURGEOIS, ROAD, ROAD, JENSEN. IMP (11213 OLD JEANERETTE RD) ACQ: VIOLA JACKSON WEST ETAL - 1947-(173-338) ACQ: RIGHT OF USUFRUCT GRANTED TO MARY CONWAY - 2001 - (1212-243)</t>
  </si>
  <si>
    <t>LOUIS COLEMAN</t>
  </si>
  <si>
    <t>11213 Old Jeanerette Rd, New Iberia, LA 70563</t>
  </si>
  <si>
    <t>https://www.civicsource.com/IBS25087</t>
  </si>
  <si>
    <t>5018 Pirates Aly, LA</t>
  </si>
  <si>
    <t>UNDIVIDED INTEREST OF : 100% IN: 1-80 X 112/100 PIRATE'S ALLEY, BOAT SLIP, LOT 16, LOT 18. BEING LOT 17 BLK D, BAYOU JACK MARINA, PART 4. LOCATED IN SEC. 26 T 13 S,R 6 E MOBILE HOME (5018 PIRATES ALY) ACQ: INT (OF MOBILE HOME ONLY) OF GLADYS C DELCAMBRE THRU COMM PARTITION-1987 (925-112) ACQ: NORMAN HEBERT - 1989 (969-115) (LAND PURCHASE) ACQ: LUCILLE S DELAHOUSSAYE ACQ INT OF CURTIS P DELCAMBRE THRU SUCC - 2019 (1660-926)</t>
  </si>
  <si>
    <t>NITA G WAGUESPACK</t>
  </si>
  <si>
    <t>5018 Pirates Alley, New Iberia, LA 70560</t>
  </si>
  <si>
    <t>https://www.civicsource.com/IBS22853</t>
  </si>
  <si>
    <t>https://www.civicsource.com/IBS23576</t>
  </si>
  <si>
    <t>4806 Eraste Hebert Rd, Delcambre, LA</t>
  </si>
  <si>
    <t>UNDIVIDED INTEREST OF : 100% IN: 1-100 X 138 LOT 11, LOT 13, ERASTE HEBERT RD, DEROUEN BEING LOT 12 OF ERASTE HEBERT PROP. PLAT. LOCATED IN SEC. 19, T 12 S,R 6 E. IMP (MOBILE HOME - 4806 ERASTE HEBERT RD) SER# AL1466180973 ACQ: SUCC HOWARD J HEBERT SR - 1999 (1168-690) ACQ: MICHELLE T NORRIS ACQ INT OF HOWARD HEBERT JR, BEATRICE G HEBERT &amp; LINDA H NORRIS THRU DONATION - 2014 (1557-596)</t>
  </si>
  <si>
    <t>MICHELLE TERRELL NORRIS</t>
  </si>
  <si>
    <t>398 North Wilson Well Rd, Poughkeepsie, AR 72569</t>
  </si>
  <si>
    <t>https://www.civicsource.com/IBS24734</t>
  </si>
  <si>
    <t>2917 Vientiane St, Jeanerette, LA</t>
  </si>
  <si>
    <t>UNDIVIDED INTEREST OF : 100% IN: 1- 135 X 135 BEING LOTS 12 &amp; 13, BLK 2, LANEXANG VILLAGE LOCATED IN SEC 27, T11S, R5E ACQ: WAT THAMMARATTANARAM, INC - 1987 (919- 754) ACQ: ACT OF CORRECTION - 1987 (923-821) ACQ: HARRIER ENTERPRISES LLC ACQ INT OF LAP KHAMMANY THRU TAX SALE FOR NON PAYMENT OF 2017 PARISH TAXES - 2018 (1647-377)</t>
  </si>
  <si>
    <t>https://www.civicsource.com/IBS23378</t>
  </si>
  <si>
    <t>St Nicholas St, LA</t>
  </si>
  <si>
    <t>UNDIVIDED INTEREST OF : 100% IN: 1- 102 X 118 VANHAVERBEKE, ALLEY, BONIN, JUMONVILLE &amp; TOLAND ACQ: DEUTSCHE ALT-A SECURITIES INC MORTGAGE LOAN TRUST SERIES 2005-6 THRU WARRANTY DEED - 2017 (1617-855)</t>
  </si>
  <si>
    <t>YVONNE TAYLOR</t>
  </si>
  <si>
    <t>321 St Nicholas St, Jeanerette, LA 70544</t>
  </si>
  <si>
    <t>https://www.civicsource.com/IBS24926</t>
  </si>
  <si>
    <t>Bull Island Rd, LA</t>
  </si>
  <si>
    <t>UNDIVIDED INTEREST OF : 100% IN: .500 AC LOT 4-C, LOT 4-A, BULL ISLAND RD, TRACT 3. BEING TRACT4-B OF PLAT LOCATED IN SEC. 41 T12 S,R 5 E ACQ: RUSSELL J MELANCON - 2011 (1492-633) ACQ; ACQUIRED 50% INT TROY JAMES SEGURA THRU DONATION - 2018 (1650-733)</t>
  </si>
  <si>
    <t>KERRIE RENEE ALBARADO</t>
  </si>
  <si>
    <t>131 E 59Th, Cut Off, LA 70345</t>
  </si>
  <si>
    <t>https://www.civicsource.com/IBS22905</t>
  </si>
  <si>
    <t>703 Buckeye St, LA</t>
  </si>
  <si>
    <t>UNDIVIDED INTEREST OF : 100% IN: 1-50 X 100 LOTS 6 &amp; 8, OF BOUTTE'S MAP, BUCKEYE ST, LOT 11, BLK 20 IMP (703 BUCKEYE ST) 1-50 X 110 BUCKEYE ST, LOT 5, LOT 10, LOT 7 BEING LOT 6 OF BLK 20, LEWIS ADD</t>
  </si>
  <si>
    <t>GEORGE PORTER</t>
  </si>
  <si>
    <t>703 Buckeye Street, New Iberia, LA 70560</t>
  </si>
  <si>
    <t>https://www.civicsource.com/CNI10635</t>
  </si>
  <si>
    <t>403 W Pershing St, LA</t>
  </si>
  <si>
    <t>UNDIVIDED INTEREST OF : 100% IN: 1-50 X 150 W PERSHING ST., LOT 10, LOT 8, LOT 6 BEING LOT 7, BLK 282, CITY MAP IMP (403 W PERSHING ST) ITEM 1 LAND COMM SITE DEVELOPMENT ITEM 3 ACQ: WESLEY HYPOLITE, III - 2000 (1201-378) ACQ: JIMMY CHAMP ACQ INT THRU JUDGMENT - 2002 (1232-987) ACQ: INT OF JIMMIE CHAMP JR - 2002 (1252-845)</t>
  </si>
  <si>
    <t>BRENDA D PLACIDE</t>
  </si>
  <si>
    <t>1606 Crestwell, New Iberia, LA 70560</t>
  </si>
  <si>
    <t>https://www.civicsource.com/IBS25249</t>
  </si>
  <si>
    <t>316 Lombard St, LA</t>
  </si>
  <si>
    <t>UNDIVIDED INTEREST OF : 100% IN: 1-58 X 164 BERGERIE BROTHERS, LOMBARD ST, GACHASSIN, GACHASSIN. IMP (316 LOMBARD ST) ACQ; SUCC MARY F GACHASSIN THRU NICHOLAS GACHASSIN JR ETAL - 1987 (933-669) SOLD TO CITY OF NEW IBERIA FOR 1991 CITY TAXES - 1992 (1037-450) SOLD TO LULA M JACKSON FOT NON-PAYMENT OF '97 CITY TAXES - 1998 - (1160-703)</t>
  </si>
  <si>
    <t>https://www.civicsource.com/CNI9947</t>
  </si>
  <si>
    <t>Sidney Blanchard Rd, Loreauville, LA</t>
  </si>
  <si>
    <t>UNDIVIDED INTEREST OF : 100% IN: 1-78 X 240 GUILLOTTE, SIDNEY BLANCHARD RD, GUILLOTTE, PARCEL A-24, . BEING PARCEL B OF PLAT. LOCATED IN SEC 23, T 11 S, R 7 E. ACQ: LARRY J DEROUEN THRU DONATION - 1997 (1141-109) ACQ: INT OF APRIL BROUSSARD THRU COMMUNITY PARTITION- 2001 (1226-884) ACQ: ACT OF CORRECTION - 1997 (1141-391) **CORRECTING EAST/WEST BOUNDARY</t>
  </si>
  <si>
    <t>ANTOINE CHIP BROUSSARD</t>
  </si>
  <si>
    <t>1105 Sidney Blanchard Road, Loreauville, LA 70552</t>
  </si>
  <si>
    <t>https://www.civicsource.com/IBS23117</t>
  </si>
  <si>
    <t>808 Audrey St, LA</t>
  </si>
  <si>
    <t>UNDIVIDED INTEREST OF : 100% IN: 1-50 X 106/117 LOT 12, LOT 10, AUDREY ST, R/R BEING LOT 11, BLK 12, COURREGE SUB IMP (808 AUDREY ST)</t>
  </si>
  <si>
    <t>WILLIE DARBY</t>
  </si>
  <si>
    <t>808 Audrey St, New Iberia, LA 70560</t>
  </si>
  <si>
    <t>https://www.civicsource.com/CNI10062</t>
  </si>
  <si>
    <t>Patoutville Rd, Delcambre, LA</t>
  </si>
  <si>
    <t>UNDIVIDED INTEREST OF : 100% IN: 1-105 X 91 ITEM 1 LANDRY, LANDRY, HEBERT, LABICHE LOCATED IN SEC 25, T 13 S,R 7 E ACQ: PATRICK P LANDRY &amp; KAREN LANDRY THRU PARTITION THRU KAREN DENISE LANDRY-1981 (787-13) 1-105 X 182 ITEM 2 LANDRY, HEBERT, LANDRY, LANCON BEING LOT B ON PLAT OF SURVEY LOCATED IN SEC 25 T 13 S,R 7 E ACQ: SUCC IRMALANE L LABICHE THRU HEIRS - 1991 (1023-884) 1-105 X 91 ITEM 3 LANDRY, HEBERT, HEBERT, LABICHE LOCATED IN SEC 25 T 13 S,R 7 E ACQ: PATRICK P LANDRY - 1991 (1010-495)</t>
  </si>
  <si>
    <t>ELMO JOSEPH LANDRY</t>
  </si>
  <si>
    <t>4507 Patoutville Rd, Jeanerette, LA 70544</t>
  </si>
  <si>
    <t>https://www.civicsource.com/IBS25056</t>
  </si>
  <si>
    <t>603 Magnolia Ave, LA</t>
  </si>
  <si>
    <t>UNDIVIDED INTEREST OF : 100% IN: 1-75 X 115 LOT 9, PART LOT 13, MAGNOLIA AVE, LOT 11 BEING LOT 10 &amp; N-1/2 LOT 13, BLK 5, DAUTERIVE SUB IMP (603 MAGNOLIA AVE) ACQ: MARTY R ABSHIRE - 1996 (1122-404)</t>
  </si>
  <si>
    <t>DAVID ALBERT RICHTHOFEN JR</t>
  </si>
  <si>
    <t>603 Magnolia Ave, New Iberia, LA 70560</t>
  </si>
  <si>
    <t>https://www.civicsource.com/IBS24486</t>
  </si>
  <si>
    <t>620 Robertson St, LA</t>
  </si>
  <si>
    <t>UNDIVIDED INTEREST OF : 100% IN: 1-69 X 200 DEROUEN, LAUGHLIN, LAUGHLIN, ROBERTSON ST BEING LOT 16 OF BLK 1 OF PLAT IMP (620 ROBERTSON ST) ACQ: DUDLEY VIATOR - 2007 (1357-733)</t>
  </si>
  <si>
    <t>https://www.civicsource.com/CNI10879</t>
  </si>
  <si>
    <t>1004 Shelton Ave, Delcambre, LA</t>
  </si>
  <si>
    <t>UNDIVIDED INTEREST OF : 100% IN: 1-39/60 X 131/129 LOT 59, PART LOT 56 &amp; 57, SPENCER AVE, LOT 53 BEING LOT 58 OF CLETUS LANDRY SUB, PART II ACQ: ROBERT J BLAISE SR - 2011 (1481-734) IMP (M/H - 1004 SHELTON AVE) TAG #BEC037407</t>
  </si>
  <si>
    <t>CLAUDE COLBERT SR</t>
  </si>
  <si>
    <t>1009 Shelton Ave, New Iberia, LA 70560</t>
  </si>
  <si>
    <t>https://www.civicsource.com/IBS23384</t>
  </si>
  <si>
    <t>218 Amb Wilbert Lemelle, LA</t>
  </si>
  <si>
    <t>UNDIVIDED INTEREST OF : 100% IN: 1- 45 X 112 VITAL &amp; COLLINS, MESTAYER, PLACIDE, FRERE ST IMP (218 AMB WILBERT LEMELLE DR) ACQ: HARLEN J &amp; EUELLA BENJAMIN LEWIS THRU DONATION - 2018 (1655-47)</t>
  </si>
  <si>
    <t>YOLANDA L YOUNG</t>
  </si>
  <si>
    <t>218 W Ambassador W Lemelle Dr, New Iberia, LA 70560</t>
  </si>
  <si>
    <t>https://www.civicsource.com/CNI10434</t>
  </si>
  <si>
    <t>7312 Lee Station Rd, LA</t>
  </si>
  <si>
    <t>UNDIVIDED INTEREST OF : 100% IN: 1 - 133 X 175 PEREZ, SIMON, LEE STATION RD, MCGEE LOCATED IN SEC 44, T13S, R5E IMP (7312 LEE STATION RD) ACQ: RANDALL J MCGEE - 2000 (1209-107) ACQ: ACT OF CORRECTION - 2000 (1209-110)</t>
  </si>
  <si>
    <t>PERRY M CUROL</t>
  </si>
  <si>
    <t>7312 Lee Station Rd, New Iberia, LA 70560</t>
  </si>
  <si>
    <t>https://www.civicsource.com/IBS22989</t>
  </si>
  <si>
    <t>516 Providence St, LA</t>
  </si>
  <si>
    <t>UNDIVIDED INTEREST OF : 100% IN: 1- 40 X 121 OLIVE BRANCH LODGE, PROVIDENCE ST, GILLARD, KLING IMP (516 PROVIDENCE) ACQ: GLENDA M AUGUST THRU JUDGMENT - 2012 (1520-799)</t>
  </si>
  <si>
    <t>ROSELINE BENOIT FONTENETTE</t>
  </si>
  <si>
    <t>516 Providence Street, New Iberia, LA 70560</t>
  </si>
  <si>
    <t>https://www.civicsource.com/CNI9829</t>
  </si>
  <si>
    <t>Colleen St, Delcambre, LA</t>
  </si>
  <si>
    <t>https://www.civicsource.com/IBS25376</t>
  </si>
  <si>
    <t>https://www.civicsource.com/IBS25238</t>
  </si>
  <si>
    <t>507 Anderson St, LA</t>
  </si>
  <si>
    <t>UNDIVIDED INTEREST OF : 100% IN: 1-50 X 100 ANDERSON ST., LOT 20, LOTS 1 &amp; 2, PART LOTS 21 &amp; 22 BEING E-50' LOTS 21 &amp; 22 BLK 326, CITY MAP IMP (507 ANDERSON ST) ACQ: WILLIAM SEGURA ETALS - 1962 (430-64) ACQ: LEROY JONES JR AND ERVIN JONES ACQ INT OF LEROY JONES SR AND EUNICE LANDRY JONES THRU CASH SALE THRU SUCCS OF LEROY AND EUNICE JONES - 2008 (1398-893)</t>
  </si>
  <si>
    <t>ERVIN JONES</t>
  </si>
  <si>
    <t>507 Anderson St, New Iberia, LA 70560</t>
  </si>
  <si>
    <t>https://www.civicsource.com/CNI10338</t>
  </si>
  <si>
    <t>718 Rosalie St, LA</t>
  </si>
  <si>
    <t>UNDIVIDED INTEREST OF : 100% IN: 1-50 X 67 LOT 25, LOT 23, ROMERO ADD.,ROSALIE ST. BEING LOT 24, BLK.2,OF PLAT OF SURVEY IMP (718 ROSALIE ST) ACQ: LEDANNA L MINOR THRU DONATION - 1997 (1147-271)</t>
  </si>
  <si>
    <t>https://www.civicsource.com/CNI10530</t>
  </si>
  <si>
    <t>1006 Sis St, LA</t>
  </si>
  <si>
    <t>UNDIVIDED INTEREST OF : 100% IN: 1-50 X 124 LOT 10, LOT 8, LOT 4, SIS STREET BEING LOT 9, BLK 6, COURREGE SUB. IMP(1006 SIS ST) ACQ: SUCC. LEONARD MOSS EST. -1982 (790-533) ACQ: AMENDED JUDGMENT OF POSSESSION -1982 (795-166) ACQ: DONYETTA MOSS ACQ INT OF HAZEL A MOSS THRU TAX SALE FOR NON PAYMENT OF 2018 CITY TAXES - 2019 (1669-342)</t>
  </si>
  <si>
    <t>DONYETTA MOSS</t>
  </si>
  <si>
    <t>911 St Ann St, St Martinville, LA 70582</t>
  </si>
  <si>
    <t>https://www.civicsource.com/CNI10567</t>
  </si>
  <si>
    <t>Elizabeth Plessala, New Iberia, LA</t>
  </si>
  <si>
    <t>UNDIVIDED INTEREST OF : 100% IN: 1-62/164 X 132/236 BEING LOT 8, BLK 2 OF TECHE BREEZE SUB. LOCATED IN SEC. 2, T 12 S, R 7 E. ACQ: COLEMAN VITAL 2008 (1419-450)</t>
  </si>
  <si>
    <t>TYRA DANELLE VITAL</t>
  </si>
  <si>
    <t>106 Dauterive Lane, New Iberia, LA 70563</t>
  </si>
  <si>
    <t>https://www.civicsource.com/IBS23034</t>
  </si>
  <si>
    <t>Mair Rd, LA</t>
  </si>
  <si>
    <t>UNDIVIDED INTEREST OF : 100% IN: 0.57 AC.... BEING LOT 14, RYNELLA HEIGHTS SUB LOCATED IN SEC 29, T12S, R6E ACQ: HAROLD B MCSWEEN - 1985 (897-928)</t>
  </si>
  <si>
    <t>MONA GACHASSIN</t>
  </si>
  <si>
    <t>204 Mair Rd, New Iberia, LA 70560</t>
  </si>
  <si>
    <t>https://www.civicsource.com/IBS25247</t>
  </si>
  <si>
    <t>Livingston Rd, LA</t>
  </si>
  <si>
    <t>UNDIVIDED INTEREST OF : 100% IN: 1- 100/79 X 249/310 (0.57 AC) LOT 2, LOT B, LOT C, LIVINGSTON RD BEING TRACT A OF PLAT LOCATED IN SEC 2, T12S, R5E ACQ: MARCUS TRAHAN THRU DONATION - 2012 (1509-419)</t>
  </si>
  <si>
    <t>OLIVER TRAHAN</t>
  </si>
  <si>
    <t>3700 Livingston Rd, Apt D, New Iberia, LA 70560</t>
  </si>
  <si>
    <t>https://www.civicsource.com/IBS25194</t>
  </si>
  <si>
    <t>603 Edwin St, LA</t>
  </si>
  <si>
    <t>UNDIVIDED INTEREST OF : 100% IN: 1- 84/80 X 119 PART LOT 10, CHEROKEE ST, PART LOT 11, EDWIN ST BEING SW-43.17' LOT 10 &amp; NE-40.83' LOT 11, BLK 306-H, IBERIA PARK SUB LOCATED IN SEC 39, T12S, R6E IMP (603 EDWIN ST) ACQ: CASTLEROCK 2017 LLC - 2018 (1656-116)</t>
  </si>
  <si>
    <t>TOBERT ANTHONY THEODILE</t>
  </si>
  <si>
    <t>Po Box 592, Lydia, LA 70569</t>
  </si>
  <si>
    <t>https://www.civicsource.com/IBS23859</t>
  </si>
  <si>
    <t>909 Walton St, LA</t>
  </si>
  <si>
    <t>UNDIVIDED INTEREST OF : 100% IN: 1-40 X 223 LOT 6, WEBB, LOT 3, WALTON ST. IMP (909 WALTON ST.) ACQ: LARRY J BENOIT - 2013 (1527-147)</t>
  </si>
  <si>
    <t>BRIAN LONDO</t>
  </si>
  <si>
    <t>909 Walton St, New Iberia, LA 70560</t>
  </si>
  <si>
    <t>https://www.civicsource.com/CNI9871</t>
  </si>
  <si>
    <t>3206 Romero Rd, Jeanerette, LA</t>
  </si>
  <si>
    <t>UNDIVIDED INTEREST OF : 100% IN: 1- 119 X 175 ROMERO, VIATOR, ROMERO RD, ROMERO LOCATED IN SEC 22, T11S, R5E ACQ: JEANETTE C VIATOR ETAL - 1988 (950- 852) IMP (M/H - 3206 ROMERO RD) SER# SHAL0388SN0685 ACQ: ACT OF IMMOBILIZATION - 1996 (1114-671) ACQ: RONNIE ANTHONY GUILBEAU, SONNIE JAMES GUILBEAU, SHEILA ANN MATURIN, CHARLOTTE LYNN GILES, CONNIE MARIE BAILEY AND JIMMY WAYNE ROGERS ACQ INT OF SOPHIE MARIE ROGERS THRU SUCC - 2018 (1646-866)</t>
  </si>
  <si>
    <t>JIMMY ROGERS JR</t>
  </si>
  <si>
    <t>Po Box 9542, New Iberia, LA 70560</t>
  </si>
  <si>
    <t>https://www.civicsource.com/IBS23038</t>
  </si>
  <si>
    <t>Carol St, New Iberia, LA</t>
  </si>
  <si>
    <t>UNDIVIDED INTEREST OF : 100% IN: 1-125/67 X 100/120 LOT 3, FIELD ST, CAROL ST, LOT 2. BEING LOT 1, BLK 1, WEST END SUB. ACQ: LUCHES LAVINE- 2004 (1295-136)</t>
  </si>
  <si>
    <t>PROMIS DOMINIQUE</t>
  </si>
  <si>
    <t>1410 Armenco Rd, New Iberia, LA 70560</t>
  </si>
  <si>
    <t>https://www.civicsource.com/IBS23340</t>
  </si>
  <si>
    <t>1302 Dillard St, LA</t>
  </si>
  <si>
    <t>UNDIVIDED INTEREST OF : 100% IN: 1-75 X 125 LOT 9, LOT 11, I.P.S.B., DILLARD ST BEING LOT 10, BLK 1, HENDERSONVILLE SUB LOCATED IN SEC 16, T 12 S, R 6 E ACQ. CLARENCE A. MESTAYER - 1968 (520-716) ACQ: BEVERLY L VERRETT, VERDNA J LEWIS, EMILY L ROBERTSON &amp; SHIRLEY L BUTTS ACQ INT OF MURPHY LEWIS THRU SUCC - 2008 (1397-154)</t>
  </si>
  <si>
    <t>SHIRLEY BROUSSARD LEWIS</t>
  </si>
  <si>
    <t>1302 Dillard St, New Iberia, LA 70560</t>
  </si>
  <si>
    <t>https://www.civicsource.com/IBS23780</t>
  </si>
  <si>
    <t>915 E Pershing St, LA</t>
  </si>
  <si>
    <t>UNDIVIDED INTEREST OF : 100% IN: 1-50/52 X 87 LOT 8, MADISON STREET, LEE STREET, LOT 2. BEING LOT 3 OF DIVISION OF LOTS 6 &amp; 7, BLK 11, LEWIS ADDITION. IMP (915 EAST PERSHING ST.)</t>
  </si>
  <si>
    <t>ARISTIDE ALEXANDER</t>
  </si>
  <si>
    <t>915 E Pershing St, New Iberia, LA 70560</t>
  </si>
  <si>
    <t>https://www.civicsource.com/CNI9793</t>
  </si>
  <si>
    <t>3811 Estis Rd, LA</t>
  </si>
  <si>
    <t>UNDIVIDED INTEREST OF : 100% IN: 1- 244/245 X 234/236 TRACT A, TRACT C, VIATOR, PRIVATE RD BEING TRACT B OF PLAT. LOCATED IN SEC. 7 T 12 S, R 6 E. ACQ: NIKI WHITMAN THRU ACT OF EXCHANGE- 2002 (1237-890)</t>
  </si>
  <si>
    <t>KERI LYNN MARIE VIATOR</t>
  </si>
  <si>
    <t>3919 Estis Rd, New Iberia, LA 70560</t>
  </si>
  <si>
    <t>https://www.civicsource.com/IBS23603</t>
  </si>
  <si>
    <t>6407 Lumea St, LA</t>
  </si>
  <si>
    <t>UNDIVIDED INTEREST OF : 100% IN: 1-230/18 X 200/294 BOUDREAUX, LUMEIA ST, ROAD, LOT 2. BEING LOT 3, BLK 2, LABICHE MAP LOCATED IN SEC. 26, T 13 S,R 7 E. IMP (6407 LUMEA ST) ACQ: SUCC. SIDNEY A. ROGERS SR - 1988 (941-456) ACQ: 1/2 INT OF BERNICE DARCE ROGERS IN DONATION - 1988 (941-563) ACQ: SIDNEY ROGERS JR &amp; HOWARD LEE ROGERS ACQ INTEREST OF FAY R RIVET &amp; BARRY J ROGERS 1996 (1111- 674)</t>
  </si>
  <si>
    <t>SIDNEY ADAM ROGERS JR</t>
  </si>
  <si>
    <t>6407 Lumea St, New Iberia, LA 70560</t>
  </si>
  <si>
    <t>https://www.civicsource.com/IBS24485</t>
  </si>
  <si>
    <t>409 Deare St, LA</t>
  </si>
  <si>
    <t>UNDIVIDED INTEREST OF : 100% IN: 1-65 X 135 ITEM 2 LOT 3, LOT 5, PART LOTS 13 &amp; 14, DEARE ST BEING LOT 4, BLK C, PART 2, POURCIAU SUB 1-32 X 135 ITEM 3 PART LOT 3, LOT 4, LOTS 12 &amp; 13, DEARE ST BEING THE S-32' LOT 3, BLK C, PART 2, POURCIAU SUB ACQ: ARTHUR BIAS SR - 2010 (1448-58) IMP (M/H - 409 DEARE ST) ITEM 1 TAG #NTA1536964</t>
  </si>
  <si>
    <t>ROBERT LEE HAMILTON</t>
  </si>
  <si>
    <t>405 Deare Street, New Iberia, LA 70560</t>
  </si>
  <si>
    <t>https://www.civicsource.com/CNI11043</t>
  </si>
  <si>
    <t>718 Mary St, LA</t>
  </si>
  <si>
    <t>UNDIVIDED INTEREST OF : 100% IN: 1-65/60 X 211/188 MARY ST, LOT 13, LOT 4, LOT 2 BEING LOT 3, BLK 4, LEE &amp; LEWIS ADD. IMP (718 MARY ST) ACQ: LOUISE C. AIKENS ETAL-1976 (650-272)</t>
  </si>
  <si>
    <t>GEORGE CHEVALIER JR</t>
  </si>
  <si>
    <t>718 Mary St, New Iberia, LA 70560</t>
  </si>
  <si>
    <t>https://www.civicsource.com/CNI10004</t>
  </si>
  <si>
    <t>https://www.civicsource.com/IBS23535</t>
  </si>
  <si>
    <t>536 Lafayette St, LA</t>
  </si>
  <si>
    <t>UNDIVIDED INTEREST OF : 100% IN: 1-40/41 X 118/113 HERNANDEZ, ERATH, LAFAYETTE ST, ERATH BEING S-7' LOT 2 &amp; THE N-33' LOT 3, BLK 2 ROBERTSON ADDITION IMP (536 LAFAYETTE ST) ACQ: RONALD P SPARROW, SR. THRU COMM. SETTLEMENT - 1990 (987-48)</t>
  </si>
  <si>
    <t>https://www.civicsource.com/CNI10790</t>
  </si>
  <si>
    <t>500 Corinne St, LA</t>
  </si>
  <si>
    <t>UNDIVIDED INTEREST OF : 100% IN: 1-60 X 50 FIELD ST., FREMIN, CORINNE ST., LOT 7. BEING BLK 26, LOURD'S EXTENSION. IMP (500 CORINNE ST) ACQ: RANTER LTD - 2000 (1203-826)</t>
  </si>
  <si>
    <t>MATTIE R JAMES</t>
  </si>
  <si>
    <t>https://www.civicsource.com/IBS24470</t>
  </si>
  <si>
    <t>504 Broussard St, New Iberia, LA</t>
  </si>
  <si>
    <t>https://www.civicsource.com/IBS24969</t>
  </si>
  <si>
    <t>W Pershing St, LA</t>
  </si>
  <si>
    <t>UNDIVIDED INTEREST OF : 100% IN: 1-100 X 150 LOTS 7 &amp; 8, WEST PERSHING ST., LOT 11, WEST AVE. BEING LOTS 9 &amp; 10 OF MEEHAN PLAT. ACQ: INEZ SEGURA PERRIN -1981 (751-371) ACQ: JOANN PROVOST RAYMOND ACQ. INT. OF LISA RAYMOND - 1984 (838-708) CARL BARIDEAUX - 1984 (839-839) EDWARD JAMES BARIDEAUX - 1984 (845-622) ACQ: JOANN PROVOST RAYMOND ACQ. INTEREST OF SANDRA YOUMAN ALEXANDER - 1985 (884-852) ACQ: JO ANN P. RAYMOND ACQ. INT. OF VANESSA RAYMOND-1988 (940-432) ACQ: LEVON DENISE RAYMOND ACQ. INT. OF JO ANN PROVOST RAYMOND THRU DONATION 1994 (1079-330)</t>
  </si>
  <si>
    <t>JUNIUS RAYMOND JR EST</t>
  </si>
  <si>
    <t>https://www.civicsource.com/IBS25127</t>
  </si>
  <si>
    <t>411 Oak Heaven Ln, LA</t>
  </si>
  <si>
    <t>UNDIVIDED INTEREST OF : 100% IN: 1-175 X 143 DUGAS, MCCLAIN, GRIVAT, DUGAS BEING PART TRACT 1 OF PLAT LOCATED IN SECS 10 &amp; 11, T11S, R7E ACQ: PATRICIA ANN MCCLAIN - 2019 (1664-836)</t>
  </si>
  <si>
    <t>JEREMY BREAUX</t>
  </si>
  <si>
    <t>5911 Lee Station Rd, New Iberia, LA 70560</t>
  </si>
  <si>
    <t>https://www.civicsource.com/IBS22916</t>
  </si>
  <si>
    <t>627 Field St, LA</t>
  </si>
  <si>
    <t>UNDIVIDED INTEREST OF : 100% IN: 1-50 X 207/211 ITEM 1 VIATOR, LAUGHLIN, FIELD ST, LAUGHLIN BEING LOT 2, BLK 1 OF PLAT IMP (627 FIELD ST) ITEM 2 IMP (629 1/2 FIELD ST) ITEM 3 ACQ: DUDLEY VIATOR - 2007 (1357-733)</t>
  </si>
  <si>
    <t>https://www.civicsource.com/CNI10878</t>
  </si>
  <si>
    <t>912 Bank Ave, LA</t>
  </si>
  <si>
    <t>UNDIVIDED INTEREST OF : 100% IN: 1-71 X 171 FLEET ST, BANK AVE, DOMINQUE, MORGAN. BEING PART LOT 79 ON PLAT OF LANDS OF A.B. HENSHAW. IMP (912 BANK AVE) ACQ: MARY STAZEL VALLO SPENCER - 2003 (1256-436)</t>
  </si>
  <si>
    <t>ADAM WILLIAM CURLEY</t>
  </si>
  <si>
    <t>2509 Brenda Dr, New Iberia, LA 70560</t>
  </si>
  <si>
    <t>https://www.civicsource.com/CNI10795</t>
  </si>
  <si>
    <t>5605 Old La 25, LA</t>
  </si>
  <si>
    <t>UNDIVIDED INTEREST OF : 100% IN: 1-100 X 128/162 PUBLIC ROAD, LA. HWY 14, DUPUY, PART TRACT 3 BEING THE E/2 OF TRACT 3 OF PLAT LOCATED IN SEC 51, T 12 S, R 5 E ACQ: ZEB MEYERS - 2006 (1327-831) ACQ: RACHEL BERGERON ACQ INT OF TODD DUGAS THRU DONATION - 2009 (1424-399) MOBILE HOME (5605 OLD LA 25)</t>
  </si>
  <si>
    <t>RACHEL BERGERON</t>
  </si>
  <si>
    <t>5607 Old La 25, New Iberia, LA 70560</t>
  </si>
  <si>
    <t>https://www.civicsource.com/IBS23244</t>
  </si>
  <si>
    <t>527 W Pershing St, LA</t>
  </si>
  <si>
    <t>UNDIVIDED INTEREST OF : 100% IN: 1-50 X 150 FIRST ST, LOT 10, LOT 1, LOT 3 BEING LOT 2, BLK 281, CITY MAP IMP (527 W PERSHING ST) ITEM 1 ACQ: DONALD P HEBERT - 1982 (781-90) ACQ: JOANN PROVOST RAYMOND ACQ INT OF LISA RAYMOND - 1984 (838-708) CARL BARIDEAUX - 1984 (839-839) EDWARD JAMES BARIDEAUX - 1984 (845-622) ACQ: JOANN P RAYMOND ACQ INT OF SANDRA YOUMAN ALEXANDER - 1985 (844-852) ACQ: JOANN P RAYMOND ACQ INT OF VANESSA RAYMOND -1988 (940-432)</t>
  </si>
  <si>
    <t>JUNIUS RAYMOND  JR ESTATE</t>
  </si>
  <si>
    <t>https://www.civicsource.com/IBS23896</t>
  </si>
  <si>
    <t>529 Amb Wilbert Lemelle, LA</t>
  </si>
  <si>
    <t>UNDIVIDED INTEREST OF : 100% IN: 1-40 X 76/67 FRERE ST, S/2 ABANDONED CANAL ALLEY, TRACT 1, TRACT 3 BEING TRACT 2 OF PLAT OF PARTITION IMP (529 AMB WILBERT LEMELLE DR) ACQ: MURIEL MICHELLE LOCKETTE LEWIS - 2009 (1424-205) ACQ: ACT OF CORRECTION - 2009 (1425-330)</t>
  </si>
  <si>
    <t>https://www.civicsource.com/CNI10841</t>
  </si>
  <si>
    <t>Morgan St, LA</t>
  </si>
  <si>
    <t>UNDIVIDED INTEREST OF : 100% IN: 1-132 X 200 BEING THE MOST SOUTHWESTERN PORTION OF LOT 49, BOUTTE HEIGHTS SUB LOCATED IN SEC. 22 T 13 S, R 7 E ACQ: NORMAN BRIGNAC THRU DONATION - 2009 (1424-557)</t>
  </si>
  <si>
    <t>JULES BRIGNAC</t>
  </si>
  <si>
    <t>109 Virginia St, Jeanerette, LA 70544</t>
  </si>
  <si>
    <t>https://www.civicsource.com/IBS25282</t>
  </si>
  <si>
    <t>W Old Spanish Tr, LA</t>
  </si>
  <si>
    <t>UNDIVIDED INTEREST OF : 100% IN: 1.716 AC... LOCATED IN SEC 10, T 12 S, R 6 E ACQ: BEAU SE JOUR LLC - 2007 (1382-831) ACQ: A &amp; L INTERNATIONAL GROUP CO LLC ACQ INT OF BROWN'S PROPERTY DEVELOPMENT THRU TAX SALE FOR NON PAYMENT OF 2018 PARISH TAXES - 2019 (1668-688) ACQ: A &amp; L INTERNATIONAL GROUP CO LLC ACQ INT OF BROWN'S PROPERTY DEVELOPMENT THRU TAX SALE FOR NON PAYMENT OF 2018 CITY TAXES - 2019 (1669-310)</t>
  </si>
  <si>
    <t>A &amp; L INTERNATIONAL GROUP OF CO LLC</t>
  </si>
  <si>
    <t>Po Box 644, Jeanerette, LA 70544</t>
  </si>
  <si>
    <t>https://www.civicsource.com/CNI9867</t>
  </si>
  <si>
    <t>1022 Spencer Loop, LA</t>
  </si>
  <si>
    <t>UNDIVIDED INTEREST OF : 100% IN: 1- 120 X 110 LOT 2, LOT 5, SPENCER LOOP, ST EDWARD'S SUB. BEING LOTS 3 &amp; 4, CLETUS LANDRY SUB. PART II. IMP (MOBILE HOME - 1022 SPENCER LOOP) ACQ: SOUMALY KEOPRASEUTH - 2012 (1498-722)</t>
  </si>
  <si>
    <t>PHOSAVATH SENGPHONG</t>
  </si>
  <si>
    <t>1022 Spencer Loop, New Iberia, LA 70560</t>
  </si>
  <si>
    <t>https://www.civicsource.com/CNI10355</t>
  </si>
  <si>
    <t>713 Touriac St, New Iberia, LA</t>
  </si>
  <si>
    <t>UNDIVIDED INTEREST OF : 100% IN: 1-42 X 150 ROBERTSON ST., ROCHON, FINNEY, ROY. IMP (703 TOURIAC ST)</t>
  </si>
  <si>
    <t>FREDDIE WASHINGTON</t>
  </si>
  <si>
    <t>3301 Gainsville St, South East Washington, DC 20020</t>
  </si>
  <si>
    <t>https://www.civicsource.com/IBS23006</t>
  </si>
  <si>
    <t>802 E Pershing St, Jeanerette, LA</t>
  </si>
  <si>
    <t>https://www.civicsource.com/IBS24681</t>
  </si>
  <si>
    <t>734 Rosalie St, LA</t>
  </si>
  <si>
    <t>UNDIVIDED INTEREST OF : 100% IN: 1-50 X 64 LOT 32, LOT 30, ROMERO, ROSALIE ST. BEING LOT 31, BLK. 2, OLIVIER SUB. IMP. (734 ROSALIE ST) ITEM 3 1-50 X 65/67 LOT 29, LOT 27, ROMERO, ROSALIE ST. BEING LOT 28, BLK. 2 OF OLIVIER SUB. IMP. (728 ROSALIE ST) ITEM 4 ACQ: LEDANNA *LIVINGSTON* MINOR KENNEDY ETAL THRU SHERIFF'S SALE - 1995 (1090-140)</t>
  </si>
  <si>
    <t>https://www.civicsource.com/CNI10529</t>
  </si>
  <si>
    <t>713 Touriac St, LA</t>
  </si>
  <si>
    <t>3301 Gainsville St S E, Washington, DC 20020</t>
  </si>
  <si>
    <t>https://www.civicsource.com/CNI10916</t>
  </si>
  <si>
    <t>https://www.civicsource.com/IBS24893</t>
  </si>
  <si>
    <t>804 Verna St, LA</t>
  </si>
  <si>
    <t>UNDIVIDED INTEREST OF : 100% IN: 1- 77/82 X 127/130 EMILY ST, LOT 22, LOT 2, VERNA ST BEING LOT 1, BLK 8, BADEAUX SUB, PART 2 IMP (804 VERNA ST) ACQ: WELLS FARGO BANK N A - 2018 (1653-723)</t>
  </si>
  <si>
    <t>ANGELA JOELLE LINZER</t>
  </si>
  <si>
    <t>804 Verna St, New Iberia, LA 70560</t>
  </si>
  <si>
    <t>https://www.civicsource.com/CNI10833</t>
  </si>
  <si>
    <t>1009 Eden St, Jeanerette, LA</t>
  </si>
  <si>
    <t>https://www.civicsource.com/IBS23050</t>
  </si>
  <si>
    <t>501 St Jude Ave, LA</t>
  </si>
  <si>
    <t>UNDIVIDED INTEREST OF : 100% IN: 1-60 X 127 R.R. AVE, ADAMS, FIELD ST, BARONNE. BEING LOT 1, EVARISTE SALOMON PLAT AND ALSO DESCRIBED AS BEING LOT 1 &amp; N-10' LOT 2, BLK 318, CITY MAP IMP (501 ST JUDE AVE) ACQ: WINNFIELD LIFE INSURANCE CO 2005 (1315-730)</t>
  </si>
  <si>
    <t>https://www.civicsource.com/CNI10937</t>
  </si>
  <si>
    <t>524 Johnston St, LA</t>
  </si>
  <si>
    <t>UNDIVIDED INTEREST OF : 100% IN: 1-50 X 150 CANAL ALLEY, JOHNSTON ST.,LOT 12, LOT 14 BEING LOT 13, BLK. 393, ESTORGE SUB. IMP. (524 JOHNSTON ST) ITEM 1 ACQ: OVIDE PENNIER - 1983 (810-493)</t>
  </si>
  <si>
    <t>EDWARD PENNIER</t>
  </si>
  <si>
    <t>524 Johnston St, New Iberia, LA 70560</t>
  </si>
  <si>
    <t>https://www.civicsource.com/CNI10620</t>
  </si>
  <si>
    <t>706 French St, LA</t>
  </si>
  <si>
    <t>UNDIVIDED INTEREST OF : 100% IN: 1- 40 X 100 MESTAYER, FRENCH ST, LOT 3, LOT 5 BEING LOT 4 OF PLAT OF SURVEY 1- 8 X 40 MESTAYER, LOGNION, MESTAYER, MESTAYER IMP (706 FRENCH ST) ACQ: GERALD S BROUSSARD ACQ INT OF CHARLES G BROUSSARD THRU DONATION - 2017 (1630-384)</t>
  </si>
  <si>
    <t>GERALD STEPHEN BROUSSARD</t>
  </si>
  <si>
    <t>706 French St, New Iberia, LA 70560</t>
  </si>
  <si>
    <t>https://www.civicsource.com/CNI10283</t>
  </si>
  <si>
    <t>127 San Jose St, LA</t>
  </si>
  <si>
    <t>UNDIVIDED INTEREST OF : 100% IN: 1- 75 X 124 LOT 25, LOT 23, SAN JOSE ST, LOT 4 BEING LOT 24, BLK 4, ACADIAN ACRES ADD IMP (127 SAN JOSE ST) ACQ: ACADIAN REALTY CORP - 1956 ACQ: SUCC JOSEPH BOUDREAUX - 2003 (1259-56)</t>
  </si>
  <si>
    <t>RUTH BOUDREAUX</t>
  </si>
  <si>
    <t>127 San Jose St, New Iberia, LA 70560</t>
  </si>
  <si>
    <t>https://www.civicsource.com/CNI9904</t>
  </si>
  <si>
    <t>Coteau Rd, LA</t>
  </si>
  <si>
    <t>UNDIVIDED INTEREST OF : 100% IN: 0.82 AC.... ITEM 6 TRACT 2, TRACT 1, ROMERO, MELANCON RD BEING TRACT 3 LOCATED IN SEC 26, T11S, R5E ACQ: ALEX F ROMERO THRU DONATION - 1990 (994-235) ACQ: INT OF RONALD A ROMERO THRU DONATION - 1993 (1064-364) ACQ: ALEX F ROMERO &amp; MARGIE T ROMERO THRU TERMINATION OF USUFRUCT - 1995 (1100-344)</t>
  </si>
  <si>
    <t>ROMERO, KARL GERARD ESTATE</t>
  </si>
  <si>
    <t>459 S Larkspur Dr, Castle Rock, CO 80104</t>
  </si>
  <si>
    <t>https://www.civicsource.com/IBS25251</t>
  </si>
  <si>
    <t>7318 Hillcrest Dr, LA</t>
  </si>
  <si>
    <t>UNDIVIDED INTEREST OF : 100% IN: 1-LOT (0.954 ACRES) BEING LOT 43, HILL &amp; DALE SUB, PHASE II LOCATED IN SEC 37, T 12 S,R 5 E ACQ: ADLAS J BROUSSARD - 1991 (1005-314) ACQ: ACT OF CORRECTION - 1994 (1069-650) IMP (7318 HILLCREST DR)</t>
  </si>
  <si>
    <t>EDNA MAE DAVIS</t>
  </si>
  <si>
    <t>7318 Hillcrest Dr, New Iberia, LA 70560</t>
  </si>
  <si>
    <t>https://www.civicsource.com/IBS25220</t>
  </si>
  <si>
    <t>2307 1/2 Fifth St, LA</t>
  </si>
  <si>
    <t>UNDIVIDED INTEREST OF : 100% IN: 3-LOT FIFTH ST, LOTS 7 THRU 9, LOT 3, GUILLOTTE ST. BEING LOTS 4, 5 &amp; 6 OF BLK L MIGUES ADDITION &amp; THE NORTHERNMOST-10' OF LOTS 7, 8 &amp; 9 BLK L MIGUES SUB IMP (2307 1/2 FIFTH ST) ACQ: KURT MYERS THRU J.C. FITCH &amp; SONS - 1988 (953-385)</t>
  </si>
  <si>
    <t>TERRY L THOMPSON</t>
  </si>
  <si>
    <t>2307 1/2 Fifth St, Jeanerette, LA 70544</t>
  </si>
  <si>
    <t>https://www.civicsource.com/IBS23470</t>
  </si>
  <si>
    <t>Pirates Aly, Jeanerette, LA</t>
  </si>
  <si>
    <t>UNDIVIDED INTEREST OF : 100% IN: 1- 80 X 116 PIRATE'S ALLEY, BOAT SLIP, LOT 4, LOT 2 BEING LOT 3 OF BLK D, BAYOU JACK MARINA PART 4 ACQ: NICOLE BURTON REED - 2014 (1570-280)</t>
  </si>
  <si>
    <t>SETH JOSEPH RUSSO</t>
  </si>
  <si>
    <t>4818 Pirates Alley, New Iberia, LA 70560</t>
  </si>
  <si>
    <t>https://www.civicsource.com/IBS23683</t>
  </si>
  <si>
    <t>Oak Hill Rd, LA</t>
  </si>
  <si>
    <t>UNDIVIDED INTEREST OF : 100% IN: 1-60 X 138 LOT 5A, LOT 5B, LALLANDE, OAK HILL RD. BEING N/MOST 60' LOT 5B WOODLAND HEIGHTS SUB. LOCATED IN SEC. 12, T 12 S, R 7 E. ACQ: LEROY DEROUEN - 1992 (1039-326) ACQ: STACY STEIN MONTE ACQ INT OF KEITH S MONTE THRU COMMUNITY PARTITION - 2004 (1277-101)</t>
  </si>
  <si>
    <t>STACY STEIN MONTE</t>
  </si>
  <si>
    <t>117 Oak Hill Rd, New Iberia, LA 70563</t>
  </si>
  <si>
    <t>https://www.civicsource.com/IBS24254</t>
  </si>
  <si>
    <t>1440 Washington St, LA</t>
  </si>
  <si>
    <t>UNDIVIDED INTEREST OF : 100% IN: 1- 50 X 111 WASHINGTON ST, MOLO, GUY, JOHNSON. BEING LOT 6 OF SUB. IMP. (1440 WASHINGTON ST) ACQ: LEE J. HENSLEY - 1985 (875-7)</t>
  </si>
  <si>
    <t>https://www.civicsource.com/IBS24129</t>
  </si>
  <si>
    <t>909 Henshaw Dr, LA</t>
  </si>
  <si>
    <t>UNDIVIDED INTEREST OF : 100% IN: 1- 46 X 168 LOT 3, 50' OF LOT 6, FLEET ST., HENSHAW ALLEY BEING N-46' OF LOT 6, BLK 382 OF MAP IMP (909 HENSHAW DR) ACQ: RENE VIATOR ESTATE THRU TAX DEED - 1999 (1180-99-8639) SOLD TO CITY OF NI FOR 1998 CITY TAXES - UNDER THE NAME OF RENEE VIATOR ESTATE - 1999 (1179-456) SOLD TO CITY OF NI FOR 1999 CITY TAXES - 2000 (1200-104)</t>
  </si>
  <si>
    <t>DANIEL BOURQUE</t>
  </si>
  <si>
    <t>320 Hacker St, New Iberia, LA 70560</t>
  </si>
  <si>
    <t>https://www.civicsource.com/CNI9909</t>
  </si>
  <si>
    <t>320 Lombard St, LA</t>
  </si>
  <si>
    <t>UNDIVIDED INTEREST OF : 100% IN: 1-100 X 105 GACHASSIN, LOMBARD ST, GACHASSIN, RAILROAD ST BEING PART LOTS 15 &amp; 16, BLK 333, CITY MAP IMP (320 LOMBARD ST) ACQ: PAUL STERLING GACHASSIN-1975 (624-75-418)</t>
  </si>
  <si>
    <t>CHARLES G BROUSSARD</t>
  </si>
  <si>
    <t>https://www.civicsource.com/CNI9941</t>
  </si>
  <si>
    <t>Lee Station Rd, Loreauville, LA</t>
  </si>
  <si>
    <t>UNDIVIDED INTEREST OF : 100% IN: 1- 112 X 348 CUROL, DELCAMBRE, LEE STATION RD, MCGEE BEING THE REMAINING PORTION OF PROPERTY AS PER PLAT LOCATED IN SEC 44, T13S, R5E ACQ: RANDALL MCGEE - 2002 (1250-217)</t>
  </si>
  <si>
    <t>https://www.civicsource.com/IBS24762</t>
  </si>
  <si>
    <t>509 Apricot St, Delcambre, LA</t>
  </si>
  <si>
    <t>UNDIVIDED INTEREST OF : 100% IN: 1-50 X 164 BLK 26, APRICOT ST, LOT 3, LOT 5 BEING LOT 4, BLK 3, OF REVISED PLAT OF QUEREAU SUB IMP (509 APRICOT ST) ACQ: DWAYNE MORGAN- 2009 (1437-195)</t>
  </si>
  <si>
    <t>JONI L SEGURA</t>
  </si>
  <si>
    <t>509 Apricot St, New Iberia, LA 70560</t>
  </si>
  <si>
    <t>https://www.civicsource.com/IBS23394</t>
  </si>
  <si>
    <t>621 Martin Luther King, Delcambre, LA</t>
  </si>
  <si>
    <t>UNDIVIDED INTEREST OF : 100% IN: 1- 55 X 90 DUROCHER AVE, JOHNSON, NARCISSE, BOWLES IMP (621 MARTIN LUTHER KING DR) ACQ: ALFRED JONES - 1959 (356-286)</t>
  </si>
  <si>
    <t>HERBERT HARDING</t>
  </si>
  <si>
    <t>621 Martin Luther King Dr, Jeanerette, LA 70544</t>
  </si>
  <si>
    <t>https://www.civicsource.com/IBS23086</t>
  </si>
  <si>
    <t>412 W Dale St, LA</t>
  </si>
  <si>
    <t>UNDIVIDED INTEREST OF : 100% IN: 1- 49 X 90 LOT 1, DALE STREET, DEROUEN &amp; LOT 4, MALLET &amp; COMEAUX IMP (412 W DALE ST) ACQ: BARRY PAUL COMEAUX - 2014 (1567-359)</t>
  </si>
  <si>
    <t>BRADLEY A YOUNG</t>
  </si>
  <si>
    <t>412 W Dale St, New Iberia, LA 70560</t>
  </si>
  <si>
    <t>https://www.civicsource.com/CNI10020</t>
  </si>
  <si>
    <t>633 Mississippi St, LA</t>
  </si>
  <si>
    <t>UNDIVIDED INTEREST OF : 100% IN: 1-60 X 115 MARGARET ST., LOT 16, MISSISSIPPI ST, LOT 18 BEING LOT 17, MIXON SUB NO 2 IMP (633 MISSISSIPPI ST) ACQ: JAMES ADAM MIGUES - 2009 (1426-524)</t>
  </si>
  <si>
    <t>https://www.civicsource.com/CNI10521</t>
  </si>
  <si>
    <t>https://www.civicsource.com/IBS25206</t>
  </si>
  <si>
    <t>7805 Sugar Oaks Rd, LA</t>
  </si>
  <si>
    <t>UNDIVIDED INTEREST OF : 100% IN: 1-76/26/50 X 450/100/550 SIMON, RANSONET, SIMON, BAYOU TECHE. ACQ: OLYMPE D. RANSONET-(162-339)</t>
  </si>
  <si>
    <t>ALTHEA SIMON</t>
  </si>
  <si>
    <t>Po Box 112, Loreauville, LA 70552</t>
  </si>
  <si>
    <t>https://www.civicsource.com/IBS24294</t>
  </si>
  <si>
    <t>Rue Martine, New Iberia, LA</t>
  </si>
  <si>
    <t>UNDIVIDED INTEREST OF : 100% IN: 1- 94/215 X 370/302 BEING LOT 12 OF BEAU CHENE SUB LOCATED IN SEC 64, T12S, R5E &amp; SEC 41, T13S, R5E ACQ: DUHON FARMS LLC - 2015 (1588-226)</t>
  </si>
  <si>
    <t>CHRISTOPHER SOUPHANTHALOP</t>
  </si>
  <si>
    <t>2803 Mayo St, New Iberia, LA 70560</t>
  </si>
  <si>
    <t>https://www.civicsource.com/IBS23350</t>
  </si>
  <si>
    <t>Admiral Doyle Dr, LA</t>
  </si>
  <si>
    <t>UNDIVIDED INTEREST OF : 100% IN: 1 - LOT (300 X 120 - GUESTIMATE) ADMIRAL DOYLE DR, ALEXANDER, CANAL LOCATED IN SEC 65, T13S, R8E ACQ: RONALD R HEBERT SR - 2000 (1205-432)</t>
  </si>
  <si>
    <t>https://www.civicsource.com/IBS24190</t>
  </si>
  <si>
    <t>1333 Iberia St, LA</t>
  </si>
  <si>
    <t>UNDIVIDED INTEREST OF : 100% IN: 1-70.875 X 219 LOT 1, DUPUY, LATIOLAS, IBERIA ST BEING LOT 3 OF PLAT IMP (1333 IBERIA ST) ACQ: NEBRASKA ALLIANCE REALTY CO ACQ 1% INT OF SYDNEY LEGNON EST THRU TAX SALE FOR NON PAYMENT OF 2013 PARISH TAXES - 2014 (1561-123) ACQ: HARRIER ENTERPRISES LLC ACQ 100% INT OF 1% INT OF NEBRASKA ALLIANCE REALTY CO THRU TAX SALE FOR NON PAYMENT OF 2016 PARISH TAXES - 2017 (1628-849) ACQ: HARRIER ENTERPRISES LLC ACQ 100% INT OF 99% INT OF SYDNEY LEGNON ESTATE THRU TAX SALE FOR NON PAYMENT OF 2017 CITY TAXES - 2018 (1648-92)</t>
  </si>
  <si>
    <t>https://www.civicsource.com/CNI10415</t>
  </si>
  <si>
    <t>713 Leblanc Aly, LA</t>
  </si>
  <si>
    <t>UNDIVIDED INTEREST OF : 100% IN: 1-45 X 85 BROUSSARD, HENRY, SEGURA, LABLANC ALLEY IMP (713 LEBLANC ALY) ACQ: ERNEST GUILLORY II THRU DONATION - 2011 (1480-218)</t>
  </si>
  <si>
    <t>GABRIEL ROCHELLE</t>
  </si>
  <si>
    <t>713 Leblanc Alley, New Iberia, LA 70560</t>
  </si>
  <si>
    <t>https://www.civicsource.com/IBS24635</t>
  </si>
  <si>
    <t>626 Monnot Rd, LA</t>
  </si>
  <si>
    <t>UNDIVIDED INTEREST OF : 100% IN: 1-50 X 100 MONNOT RD, NATHAN, PAYTON, LACEY ST. IMP (626 MONNOT RD) ACQ: AMANDA STEVENS-1965 (446-414) ACQ: INT. OF MARY A.BROUSSARD THRU COMM.SET - 1976 (642-644)</t>
  </si>
  <si>
    <t>https://www.civicsource.com/IBS22898</t>
  </si>
  <si>
    <t>421 Ann St, Jeanerette, LA</t>
  </si>
  <si>
    <t>UNDIVIDED INTEREST OF : 100% IN: 1- 47/50 X 136/132 R.R., LOT 4, ALLEY, ANN ST BEING LOT 3, BLK 245, CITY MAP IMP(421 ANN ST) ACQ: SUCC HOLLES DEROUEN - 1969 (532-583) ACQ: INT OF WILFRED DEROUEN, JR. IN COMM PART - 1978 (698-727) ACQ: BEVERLY TRONEY DEROUEN ACQ 50% INT JERRY P DEROUEN SR THRU SUCC - 2015 (1586-34) ACQ: MARSHALL ALLEN DEROUEN ACQ INT OF MARY ANN DEROUEN THRU SUCC -2016 (1600-481)</t>
  </si>
  <si>
    <t>MARSHALL ALLEN DEROUEN</t>
  </si>
  <si>
    <t>2309 Haiwatha St, New Iberia, LA 70560</t>
  </si>
  <si>
    <t>https://www.civicsource.com/IBS25016</t>
  </si>
  <si>
    <t>2308 #1 Apache St, LA</t>
  </si>
  <si>
    <t>UNDIVIDED INTEREST OF : 100% IN: 1- 79 X 100 LANDRY, MATHEWS, SLAUGHTER, MCGEE BEING THE N/PORTION LOT 3, BLK F, COBB SUB LOCATED IN SEC 17, T12S, R6E IMP (M/H - 2308 #1 APACHE ST) SER #HWC348052 ACQ: JACKIE D MCGEE - 2013 (1545-940)</t>
  </si>
  <si>
    <t>GLENDA MATHEWS EVERETT</t>
  </si>
  <si>
    <t>2304 Apache St, New Iberia, LA 70560</t>
  </si>
  <si>
    <t>https://www.civicsource.com/IBS24839</t>
  </si>
  <si>
    <t>704 W Pershing St, LA</t>
  </si>
  <si>
    <t>UNDIVIDED INTEREST OF : 100% IN: 1-50 X 214 ITEM 2 WILLIAMS, PERSHING ST, WILLIAMS, WILLIAMS. ACQ: BRENDELL T. MOUTON-1980(730-486) IMP (704 W PERSHING ST) ITEM 1 1- 59 x 190 ITEM 3 ESCLAVON, SEGURA, DAVIS, PERSHING ST. ACQ: DEPARTMENT OF NATURAL RESOURCES - 1985 (872-883)</t>
  </si>
  <si>
    <t>HILDA BROOKS CHARLES</t>
  </si>
  <si>
    <t>704 West Pershing Street, New Iberia, LA 70560</t>
  </si>
  <si>
    <t>https://www.civicsource.com/CNI9992</t>
  </si>
  <si>
    <t>125 Nita St, LA</t>
  </si>
  <si>
    <t>UNDIVIDED INTEREST OF : 100% IN: 1-57 X 173 NITA ST., DAUTREUIL &amp; ROSIER ST., LOT 9, LOT 11. BEING LOT 10 OF PLAT. IMP (125 NITA STREET) ACQ: RYAN Z BALMER ACQ INT OF MICHAEL G BALMER THRU SUCC - 2019 (1659-561)</t>
  </si>
  <si>
    <t>RYAN Z BALMER</t>
  </si>
  <si>
    <t>2109 Apple St, Deridder, LA 70634</t>
  </si>
  <si>
    <t>https://www.civicsource.com/CNI9846</t>
  </si>
  <si>
    <t>Miracle Aly, LA</t>
  </si>
  <si>
    <t>UNDIVIDED INTEREST OF : 100% IN: 1.01 AC... LOT 6, CANAL ST, WEST BELT DR, MILSTED BEING LOT 5 GULF COAST INDUSTRIAL PARK LOCATED IN SEC. 20, T 12 S, R 6 E ACQ: LAWRENCE JEAN-BATISTE JR - 2008 (1409-901)</t>
  </si>
  <si>
    <t>PRIME TRUCKING LLC</t>
  </si>
  <si>
    <t>1611 E Patout, New Iberia, LA 70560</t>
  </si>
  <si>
    <t>https://www.civicsource.com/IBS24546</t>
  </si>
  <si>
    <t>928 Oak St, LA</t>
  </si>
  <si>
    <t>UNDIVIDED INTEREST OF : 100% IN: 1-72 X 105/107 OAK ST, BAILEY, LOT 16-B, VAUGHN BEING LOT 16-A, BAILEY SUB ACQ: CAROL A LORRAINE - 2008 (1400-720) IMP (928 OAK ST)</t>
  </si>
  <si>
    <t>JASON JAMES DORE</t>
  </si>
  <si>
    <t>928 Oak St, New Iberia, LA 70560</t>
  </si>
  <si>
    <t>https://www.civicsource.com/IBS25211</t>
  </si>
  <si>
    <t>1420 Iberia St, LA</t>
  </si>
  <si>
    <t>UNDIVIDED INTEREST OF : 100% IN: 0.318 AC..... FREMIN, IBERIA ST, FREMIN &amp; CHAMPAGNE, MALAHMEH BEING LOT B OF PLAT OF SURVEY LOCATED IN SEC 42, T12S, R6E IMP (1420 IBERIA ST) ACQ: SALLY ANN DORE TOUPS AND STERLING MARK DORE - 2018 (1646-333)</t>
  </si>
  <si>
    <t>PRADOS AND HULIN OPERATING LLC</t>
  </si>
  <si>
    <t>1017 Paula St, St Martinville, LA 70582</t>
  </si>
  <si>
    <t>https://www.civicsource.com/CNI10128</t>
  </si>
  <si>
    <t>Jane St, Loreauville, LA</t>
  </si>
  <si>
    <t>https://www.civicsource.com/IBS23108</t>
  </si>
  <si>
    <t>Rue Martine, Jeanerette, LA</t>
  </si>
  <si>
    <t>UNDIVIDED INTEREST OF : 100% IN: 1- 138/152 X 368/416 BEING LOT 13 OF BEAU CHENE SUB LOCATED IN SEC 64, T12S, R5E &amp; SEC 41, T13S, R5E ACQ: DUHON FARMS LLC - 2015 (1588-226)</t>
  </si>
  <si>
    <t>https://www.civicsource.com/IBS25028</t>
  </si>
  <si>
    <t>323 Field St, New Iberia, LA</t>
  </si>
  <si>
    <t>UNDIVIDED INTEREST OF : 100% IN: 1-37 X 127 LOT 3, LOT 5, FIELD ST, BARONNE. BEING LOT 4 OF EVARISTE SOLOMON PLAT. IMP (323 S.FIELD ST.) ACQ: SUCC. VILLERY JACKSON THRU STELLA J. JACKSON ETAL-1976-(647-306)</t>
  </si>
  <si>
    <t>HERMAN JAMES</t>
  </si>
  <si>
    <t>https://www.civicsource.com/IBS23664</t>
  </si>
  <si>
    <t>506 Corinne St, LA</t>
  </si>
  <si>
    <t>UNDIVIDED INTEREST OF : 100% IN: 1- 45 X 50 FREMIN, LELEUX, CORINNE ST., LOT 7. IMP (506 CORINNE ST) ACQ: CHAD R WILLIAMS - 2015 (1593-870)</t>
  </si>
  <si>
    <t>https://www.civicsource.com/IBS24310</t>
  </si>
  <si>
    <t>https://www.civicsource.com/IBS24823</t>
  </si>
  <si>
    <t>603 Hopkins St, LA</t>
  </si>
  <si>
    <t>UNDIVIDED INTEREST OF : 100% IN: 1- 50 X 50 ITEM 2 HOPKINS ST, INDEST, JOSEPH, DEBELLEVUE 1- 30 X 50 ITEM 3 HOPKINS ST, COLEMAN &amp; ASHY, ELLENDER, HEBERT BLDG (603 HOPKINS ST) ITEM 1 LAND COMM SITE DEVELOPMENT ITEM 4 ACQ: BRIAN ABATE THRU SHERIFF'S SALE - 2018 (1639-522)</t>
  </si>
  <si>
    <t>BANK, GULF COAST</t>
  </si>
  <si>
    <t>1505 Roger St, New Iberia, LA 70560</t>
  </si>
  <si>
    <t>https://www.civicsource.com/CNI10241</t>
  </si>
  <si>
    <t>720 Mary St, LA</t>
  </si>
  <si>
    <t>UNDIVIDED INTEREST OF : 100% IN: 1-64 X 235 MARY ST, LOT 9, LOT 5, LOT 3 BEING LOT 4, BLK 4, LEE &amp; LEWIS ADD IMP (720 MARY ST) ACQ: MILDRED CARPENTER- 1950 (186-469) ACQ: DEBRA MITCHELL, LOUIS CHEVALIER JR, ORA WARD, KIMBERLY MITCHELL, CLAY CHEVALIER &amp; CHARKNEDE HAYES ACQ INT OF LOUIS CHEVALIER THRU SUCC- 2005 (1319-539)</t>
  </si>
  <si>
    <t>GEORGE CHAVELIER ESTATE</t>
  </si>
  <si>
    <t>744 Hebert St, New Iberia, LA 70560</t>
  </si>
  <si>
    <t>https://www.civicsource.com/IBS24283</t>
  </si>
  <si>
    <t>613 Everette St, LA</t>
  </si>
  <si>
    <t>UNDIVIDED INTEREST OF : 100% IN: 1-50 X 150 VOORHIES &amp; PATOUT, DANIELS, EVERETTE ST, LOT 11 BEING LOCATED IN BLK 23, DODSON SUB IMP (613 EVERETTE ST) ACQ: CSMC MORTGAGE BACKED PASS THROUGH CERTIFICATES SERIES 2007-1 - 2019 (1660-828)</t>
  </si>
  <si>
    <t>MCGS PROPERDES LLC</t>
  </si>
  <si>
    <t>1309 Church St, Jeanerette, LA 70544</t>
  </si>
  <si>
    <t>https://www.civicsource.com/CNI10264</t>
  </si>
  <si>
    <t>Brady Dr, LA</t>
  </si>
  <si>
    <t>UNDIVIDED INTEREST OF : 100% IN: 1.125 AC.... ZAGAR, BRADY DR, LOT 34, BROUSSARD LOCATED IN PARCEPERDUE EST PART 3 LOCATED IN SEC 38, T12S, R5E ACQ: LEROY J DAUTREUIL THRU DONATION - 2012 (1507-158)</t>
  </si>
  <si>
    <t>208 Dahlia St, New Iberia, LA 70563</t>
  </si>
  <si>
    <t>https://www.civicsource.com/IBS22940</t>
  </si>
  <si>
    <t>156 Rosier St, LA</t>
  </si>
  <si>
    <t>UNDIVIDED INTEREST OF : 100% IN: 1-71 X 126 ITEM 2 ROZIER ST., LOT 37, BOREL, BABINEAUX IMP (156 ROSIER ST) ITEM 1 IMP (156 1/2 ROSIER ST) ITEM 3 ACQ: BOBBY CHRISTOPHER ROMERO THRU SHERIFF'S SALE - 2018 (1656-425)</t>
  </si>
  <si>
    <t>JP MORGAN CHASE BANK</t>
  </si>
  <si>
    <t>15906 18Th Ave, Clearlake, CA 95422</t>
  </si>
  <si>
    <t>https://www.civicsource.com/CNI9938</t>
  </si>
  <si>
    <t>9303 Walter Boutte St, Loreauville, LA</t>
  </si>
  <si>
    <t>UNDIVIDED INTEREST OF : 100% IN: 1-190 X 229 (1.00-AC) LOT 21, WALTER ST, MARTIN ST, LOT 25 BEING LOT 26, BOUTTE HEIGHTS SUB LOCATED IN SEC 22 T 13 S,R 7 E ACQ: ELIDA D STEPP - 1991 (1016-903) IMP (9303 WALTER BOUTTE ST)</t>
  </si>
  <si>
    <t>DAVID P BROUSSARD SR</t>
  </si>
  <si>
    <t>2100 East Elliot Rd Bldg 94, Tempe, AZ 85283</t>
  </si>
  <si>
    <t>https://www.civicsource.com/IBS24414</t>
  </si>
  <si>
    <t>https://www.civicsource.com/IBS23297</t>
  </si>
  <si>
    <t>https://www.civicsource.com/IBS23792</t>
  </si>
  <si>
    <t>224 Colgin St, Jeanerette, LA</t>
  </si>
  <si>
    <t>https://www.civicsource.com/IBS25356</t>
  </si>
  <si>
    <t>1316 Bank Ave, LA</t>
  </si>
  <si>
    <t>UNDIVIDED INTEREST OF : 100% IN: 1-63 X 110 LOTS 22, 23 &amp; E-HALF LOT 24, BANK AVE, PART LOT 53, LOT 50 BEING LOTS 51, 52 &amp; THE E-12.5 FEET LOT 53, BLK H, VERSAILLES GARDENS SUB IMP. (1316 BANK AVE) ACQ: JAMES L KILLIAN - 2006 (1344-847)</t>
  </si>
  <si>
    <t>ED PROVOST</t>
  </si>
  <si>
    <t>1316 Bank Ave, New Iberia, LA 70560</t>
  </si>
  <si>
    <t>https://www.civicsource.com/CNI10358</t>
  </si>
  <si>
    <t>Nola Dr, Delcambre, LA</t>
  </si>
  <si>
    <t>UNDIVIDED INTEREST OF : 100% IN: 1.186 AC.... BEING LOT 1 OF PLAT OF SURVEY LOCATED IN SEC 51, T12S, R5E ACQ: MARK W BODIN ETAL THRU PARTITION - 2014 (1566-143)</t>
  </si>
  <si>
    <t>SANDRA BODIN FITCH</t>
  </si>
  <si>
    <t>1507 French St, New Iberia, LA 70560</t>
  </si>
  <si>
    <t>https://www.civicsource.com/IBS23713</t>
  </si>
  <si>
    <t>210 C V Jackson Dr, LA</t>
  </si>
  <si>
    <t>UNDIVIDED INTEREST OF : 100% IN: 1-50 X 80 KELLY, MEADOW ST, WALTON, BLAIZE BEING LOT 3 OF MAP IMP (210 C V JACKSON) ACQ: LUCIEN ARMSTRONG - 1953</t>
  </si>
  <si>
    <t>JOSEPH A DAUTERIVE</t>
  </si>
  <si>
    <t>210 C V Jackson, New Iberia, LA 70560</t>
  </si>
  <si>
    <t>https://www.civicsource.com/CNI10066</t>
  </si>
  <si>
    <t>1514 Castillo Rd, Delcambre, LA</t>
  </si>
  <si>
    <t>UNDIVIDED INTEREST OF : 100% IN: 1.00 AC.... CASTILLE RD, SUARD, SCHWING REALTY CO, BABINEAUX LOCATED IN SEC 17, T11S, R7E ACQ: JULES B. SCHWING ESTATE ETAL - 1999 (1172-422) IMP (1514 CASTILLE RD) ACQ: INT OF KATHRYN ARDENEAUX BABIN WILLIAMS IN COMMUNITY PARTITION - 2000 (1194-839)</t>
  </si>
  <si>
    <t>EUCLIDE J BABIN SR</t>
  </si>
  <si>
    <t>1514 Castillo Rd, New Iberia, LA 70563</t>
  </si>
  <si>
    <t>https://www.civicsource.com/IBS23380</t>
  </si>
  <si>
    <t>907 Walton St, LA</t>
  </si>
  <si>
    <t>UNDIVIDED INTEREST OF : 100% IN: 1- 40 X 182 WALTON ST, BREAUX &amp; HUGONIN, PART LOT 6, LOT 4 BEING W-40' LOT 6, BLK 6, FRERE ADD IMP (907 WALTON ST) ACQ: SUCC WILLIE DONALD ROBERTSON - 1993 (1064-469) ACQ: DONALD LLOYD ROBERTSON AND GWENDOLYN HANSBERRY RICHARDSON ACQ INT OF GREGORY PAUL ROBERTSON THRU AMENDED SUCC - 2017 (1621-812) ACQ: GWENDOLYN HANSBERRY RICHARDSON ACQ INT OF DONALD LLOYD ROBERTSON THRU SUCC - 2017 (1621-934)</t>
  </si>
  <si>
    <t>MARY ANNE ROBERTSON</t>
  </si>
  <si>
    <t>119 Emma St, New Iberia, LA 70560</t>
  </si>
  <si>
    <t>https://www.civicsource.com/CNI10669</t>
  </si>
  <si>
    <t>630 Robertson St, Delcambre, LA</t>
  </si>
  <si>
    <t>911 S Main St, Jennings, LA 70546</t>
  </si>
  <si>
    <t>https://www.civicsource.com/IBS25047</t>
  </si>
  <si>
    <t>413 Bank Ave, LA</t>
  </si>
  <si>
    <t>UNDIVIDED INTEREST OF : 100% IN: 1- 80/9 X 149/163 (SEE MAP) ITEM 1 BEING LOT 1, BLK. 3, ROBERTSON'S ADDITION 1- 27 X 97 X 87 ITEM 3 SANDOZ, DIONNE, BOWLES 1- 60 X 273 ITEM 4 BANK AVE, WATERS, FENTROY, LANDRY BEING LOT 2, W-20' LOT 2A &amp; W-60' LOT 5, BLK 3, ROBERTSON ADD IMP (413 BANK AVE) ITEM 2 ACQ: SUCC OF JOSEPH ARTHUR SANDOZ JR THRU RATANA S LANDRY - 2016 (1612-938) ACQ: CONTINENTAL RESOURCES ACQ INT OF AMAL A MALAHMEH THRU TAX SALE FOR NON PAYMENT OF 2018 PARISH TAXES - 2019 (1668-745)</t>
  </si>
  <si>
    <t>CONTINENTAL RESOURCES WITH UNION BANK AS SECURED PARTY</t>
  </si>
  <si>
    <t>Po Box 82668, Lincoln, NE 68501</t>
  </si>
  <si>
    <t>https://www.civicsource.com/CNI10729</t>
  </si>
  <si>
    <t>https://www.civicsource.com/IBS24917</t>
  </si>
  <si>
    <t>412 Birch St, LA</t>
  </si>
  <si>
    <t>UNDIVIDED INTEREST OF : 100% IN: 1-80 X 150 BIRCH ST., PART LOT 14 &amp; PART LOT 15, LOT 6, LOT 4 BEING LOT 5, BLK 32, DODSON SUB. IMP (412 BIRCH ST) ACQ: SUCC. WILLIAM A. COLGIN &amp; BERTHA D. COLGIN THRU IRENE C. CHAUVIN ETAL-1996 (1128-502)</t>
  </si>
  <si>
    <t>JIMMY NEIL BLACKBURN</t>
  </si>
  <si>
    <t>412 Birch St, New Iberia, LA 70563</t>
  </si>
  <si>
    <t>https://www.civicsource.com/CNI9885</t>
  </si>
  <si>
    <t>634 Hebert St, Loreauville, LA</t>
  </si>
  <si>
    <t>https://www.civicsource.com/IBS24761</t>
  </si>
  <si>
    <t>608 San Jacinto Cir, LA</t>
  </si>
  <si>
    <t>UNDIVIDED INTEREST OF : 100% IN: 1- 75/79 X 144/118 SAN JACINTO CIRCLE, PART LOT 2, LOT 17, LOT 19 BEING LOT 18, BLK 13, ACADIAN ACRES ADD PART 3 IMP (608 SAN JACINTO CR) ACQ: ALTON MAZEROLE - 1975 (614-166)</t>
  </si>
  <si>
    <t>GERALD LEWIS ROMERO</t>
  </si>
  <si>
    <t>608 San Jacinto Circle, New Iberia, LA 70563</t>
  </si>
  <si>
    <t>https://www.civicsource.com/CNI10690</t>
  </si>
  <si>
    <t>912 Yvonne St, New Iberia, LA 70560</t>
  </si>
  <si>
    <t>https://www.civicsource.com/IBS24940</t>
  </si>
  <si>
    <t>114 N Dubois Rd, LA</t>
  </si>
  <si>
    <t>UNDIVIDED INTEREST OF : 100% IN: 1-194 X 144 X 119 (TRIANGULAR) LOT 1A &amp; PART LOT 2A, SHATTUCK ETAL, DUBOIS RD LOCATED IN SEC 28, T12S, R6E IMP (114 N DUBOIS RD) ACQ: THOMAS ALLEN HEBERT ETAL THRU SHERIFF'S SALE - 2004 (1287-801) ACQ: INT OF RONALD JOSEPH JACOB THRU COMM PARTITION - 2012 (1505-375)</t>
  </si>
  <si>
    <t>VERONICA JACOB</t>
  </si>
  <si>
    <t>212 Fontelieu Dr, New Iberia, LA 70560</t>
  </si>
  <si>
    <t>https://www.civicsource.com/IBS23468</t>
  </si>
  <si>
    <t>298 Camelia St, LA</t>
  </si>
  <si>
    <t>UNDIVIDED INTEREST OF : 100% IN: 1-130/126 X 75/55 ITEM 2 UPTON, ROAD, LELEUX, MIGUEZ &amp; ESTEVE BEING LOT A OF A PLAT IMP (294 CAMELIA ST) ITEM 1 IMP (298 CAMELIA ST) ITEM 3 ACQ: HOME RESOURCES, LLC- 2006 (1339-607)</t>
  </si>
  <si>
    <t>https://www.civicsource.com/CNI9939</t>
  </si>
  <si>
    <t>223 St Mary St, Loreauville, LA</t>
  </si>
  <si>
    <t>https://www.civicsource.com/IBS23409</t>
  </si>
  <si>
    <t>https://www.civicsource.com/IBS24796</t>
  </si>
  <si>
    <t>522 Sofas St, LA</t>
  </si>
  <si>
    <t>UNDIVIDED INTEREST OF : 100% IN: 1- 48 X 110 LOT 5, LOT 3, SOFAS ST, HENSHAW ALLEY BEING LOT 4, BLK 257-B, SOFAS SUB IMP (522 SOFAS ST) ACQ: JAMIE LYNN HULIN YATES - 2018 (1646-338)</t>
  </si>
  <si>
    <t>https://www.civicsource.com/CNI10280</t>
  </si>
  <si>
    <t>602 S Lewis St, LA</t>
  </si>
  <si>
    <t>UNDIVIDED INTEREST OF : 100% IN: 1-50 X 150 BOURQUE, HUNTER, S LEWIS AVE., LEMAIRE. IMP (602 S LEWIS ST) ACQ: BELZILE S. OUBRE ETAL THRU ANTHONY L.GUILLORY-1997 (1142-89)</t>
  </si>
  <si>
    <t>C A J INCORPORATED</t>
  </si>
  <si>
    <t>Po Box 12257, New Iberia, LA 70562-2257</t>
  </si>
  <si>
    <t>https://www.civicsource.com/IBS24578</t>
  </si>
  <si>
    <t>709 Compton St, LA</t>
  </si>
  <si>
    <t>UNDIVIDED INTEREST OF : 100% IN: 1-65 X 125 LOT 4, COMPTON ST., LOT 10, LOT 12 BEING LOT 11, BLK 306-F, IBERIA PARK SUB. IMP (709 COMPTON STREET) ACQ: DEBORAH S KRAMER ETALS - 2019 (1660-159)</t>
  </si>
  <si>
    <t>EDWARD DELEE COMER</t>
  </si>
  <si>
    <t>709 Compton St, New Iberia, LA 70560</t>
  </si>
  <si>
    <t>https://www.civicsource.com/CNI10268</t>
  </si>
  <si>
    <t>6017 Lee Station Rd, LA</t>
  </si>
  <si>
    <t>UNDIVIDED INTEREST OF : 100% IN: 1-100 TO BAYOU PETITE ANSE (1.361 AC) NORRIS, DARBY, BAYOU PETITE ANSE, LEE STATION ROAD. LOCATED IN SEC. 54, T 12 S,R 5 E &amp; SEC. 85, T 12 S,R 6 E. ACQ: JOHN ALLEN DARBY SR - 1992 (1038-29) IMP (6017 LEE STATION RD)</t>
  </si>
  <si>
    <t>CARMEN DARBY GALTIER WEBB</t>
  </si>
  <si>
    <t>6017 Lee Station Rd, New Iberia, LA 70560</t>
  </si>
  <si>
    <t>https://www.civicsource.com/IBS25113</t>
  </si>
  <si>
    <t>1914 Georgia St, LA</t>
  </si>
  <si>
    <t>UNDIVIDED INTEREST OF : 100% IN: 1- 66 X 150 ALLEY, GEORGIA ST, RICHARD, GREEN IMP (1914 GEORGIA ST.) ACQ: SG CAPITAL PARTNERS LLC - 2017 (1630-423)</t>
  </si>
  <si>
    <t>DEXTER GROUP TRUST, THE</t>
  </si>
  <si>
    <t>500 Delaware Ave, 11Th Floor, Wilmington, DE 19801</t>
  </si>
  <si>
    <t>https://www.civicsource.com/IBS23825</t>
  </si>
  <si>
    <t>2018 Duboin Rd, LA</t>
  </si>
  <si>
    <t>UNDIVIDED INTEREST OF : 100% IN: 1-126 X 538 (1.56 AC.) DUBOIN RD., FISHER, BADEAUX, OLIVA. LOCATED IN SEC. 35, T 12 S,R 6 E. ACQ: JEFFREY BADEAUX- 2001 (1217-225) ACQ: PLAT - 2015 (1584-740)</t>
  </si>
  <si>
    <t>CLARENCE J OLIVIA JR</t>
  </si>
  <si>
    <t>2016 Duboin Rd, New Iberia, LA 70560</t>
  </si>
  <si>
    <t>https://www.civicsource.com/IBS23805</t>
  </si>
  <si>
    <t>1500 Rev Bayonne St, LA</t>
  </si>
  <si>
    <t>UNDIVIDED INTEREST OF : 100% IN: 1-50 X 130 TAURIAC &amp; POLEDOR, PUBLIC STREET, TIME, CHANETTE. IMP (1500 REV BARONNE ST) ACQ: MARIE CHANETTE, ETAL THRU DONATION- 2006 (1338-333)</t>
  </si>
  <si>
    <t>LATANUIA PERRY</t>
  </si>
  <si>
    <t>1403 B Copp St, Jeanerette, LA 70544</t>
  </si>
  <si>
    <t>https://www.civicsource.com/IBS23797</t>
  </si>
  <si>
    <t>712 Elizabeth St, New Iberia, LA</t>
  </si>
  <si>
    <t>UNDIVIDED INTEREST OF : 100% IN: 1- 50 X 110 LOT 18, LOT 20, ELIZABETH ST, LOT 9 BEING LOT 19, BLK B, R A JACOB SUB IMP (712 ELIZABETH ST) ACQ: CLARA ABRAM MASSEY ETAL - 2016 (1616-840)</t>
  </si>
  <si>
    <t>BELINDA ANTOINE GREEN</t>
  </si>
  <si>
    <t>1503 Anderson St, New Iberia, LA 70560</t>
  </si>
  <si>
    <t>https://www.civicsource.com/IBS25295</t>
  </si>
  <si>
    <t>5607 Old La 25, LA</t>
  </si>
  <si>
    <t>UNDIVIDED INTEREST OF : 100% IN: 1 - 24/88/96 X 165/166 PUBLIC ROAD, HWY. 14, PART TRACT 2, TRACT 2. BEING THE W/2 TRACT 3 OF PLAT. RENAMED PARCEL B IMP (5607 OLD LA 25) ACQ: ZEB MEYERS- 2006 (1327-831) ACQ: RACHEL BERGERON ACQ INT OF TODD DUGAS THRU DONATION - 2009 (1424-399)</t>
  </si>
  <si>
    <t>https://www.civicsource.com/IBS24134</t>
  </si>
  <si>
    <t>1104 Rene St, LA</t>
  </si>
  <si>
    <t>UNDIVIDED INTEREST OF : 100% IN: 1- 50 X 124 LOT 2, RENE ST., LOT 8, LOT 10. BEING LOT 9, BLK 8, COURREGE SUB. IMP (1104 RENE ST) ACQ: SUCC OF THERESA JACQUET HECTOR THRU ROGER DAVID HECTOR M D - 2014 (1559-472)</t>
  </si>
  <si>
    <t>A &amp; A RENTAL ESTATES LLC</t>
  </si>
  <si>
    <t>https://www.civicsource.com/IBS24532</t>
  </si>
  <si>
    <t>https://www.civicsource.com/IBS22855</t>
  </si>
  <si>
    <t>1707 Anderson St, Loreauville, LA</t>
  </si>
  <si>
    <t>UNDIVIDED INTEREST OF : 100% IN: 1-129/125 X 98/46 ANDERSON ST, LOT 2, RESERVED LOT, MARIGOLD DR BEING LOT 1, BLK 3, FAIRFIELD SUB, PART 1 LOCATED IN SEC 14, T12S, R6E IMP (1707 ANDERSON ST) ACQ: PETER H LE - 2014 (1562-626)</t>
  </si>
  <si>
    <t>DIEM NGOC LE</t>
  </si>
  <si>
    <t>1707 Anderson St, New Iberia, LA 70560</t>
  </si>
  <si>
    <t>https://www.civicsource.com/IBS23132</t>
  </si>
  <si>
    <t>11209 Pecan Ln, LA</t>
  </si>
  <si>
    <t>UNDIVIDED INTEREST OF : 100% IN: 1-52.5 X 80 BEING 1/2 LOT 33, BOURGEOIS SUB. LOCATED IN SEC. 50, T 13 S,R 8 E. IMP (11209 PECAN LANE) ACQ: ABDUL MUHAMMAD - 1991 (1013-26) ACQ: ABDUL MUHAMMAD ACQ 85% INT THRU TAX DEED FOR 2002 PARISH TAXES- 2003 (1262-03-8631) ACQ: ABDUL MUHAMMAD ACQ 15% INT THRU TAX DEED FOR 2006 PARISH TAXES- 2007 (1367-618)</t>
  </si>
  <si>
    <t>ABDUL MUHAMMAD</t>
  </si>
  <si>
    <t>406 Mlk Ave, Jeanerette, LA 70544</t>
  </si>
  <si>
    <t>https://www.civicsource.com/IBS24119</t>
  </si>
  <si>
    <t>820 St Peter St, LA</t>
  </si>
  <si>
    <t>UNDIVIDED INTEREST OF : 100% IN: 1- 111/105 X 138/139 OUBRE, W ST PETER ST, IBERIA PARISH SCHOOL BOARD, BARRAS ETAL BEING PART LOT 16, BLK 221, CITY MAP LOCATED IN SEC 14, T12S, R6E IMP (820 W ST PETER ST) ACQ: JASON M OLIVIER - 2016 (1602-864)</t>
  </si>
  <si>
    <t>https://www.civicsource.com/CNI10108</t>
  </si>
  <si>
    <t>808 Audrey St, New Iberia, LA</t>
  </si>
  <si>
    <t>https://www.civicsource.com/IBS24976</t>
  </si>
  <si>
    <t>500 Copper Rd, LA</t>
  </si>
  <si>
    <t>UNDIVIDED INTEREST OF : 100% IN: 1- 120 X 110 JUDITH ST, PART LOT 161, COPPER ROAD, LOTS 121 &amp; 122 &amp; 123 BEING LOT 159, LOT 160 &amp; THE N/10' LOT 161, BLK E, SILVER ACRES SUB ACQ: ALLEN RAY WELLS SR - 2008 (1408-795) IMP (500 COPPER ST)</t>
  </si>
  <si>
    <t>https://www.civicsource.com/CNI10012</t>
  </si>
  <si>
    <t>https://www.civicsource.com/IBS24821</t>
  </si>
  <si>
    <t>https://www.civicsource.com/IBS24625</t>
  </si>
  <si>
    <t>2706 Junca St, Loreauville, LA</t>
  </si>
  <si>
    <t>UNDIVIDED INTEREST OF : 100% IN: 1-75 X 150 LOT 4, JUNCA ST, LOT 16, LOT 14. BEING LOT 15, BLK 3, D'ALBOR SUB. IMP (2706 JUNCA ST.) ACQ: SUTTON SURPLUS INC THRU QUITCLAIM - 2015 (1595-941)</t>
  </si>
  <si>
    <t>GERALD JONES SR</t>
  </si>
  <si>
    <t>201 Crip Lane, Duson, LA 70529</t>
  </si>
  <si>
    <t>https://www.civicsource.com/IBS24775</t>
  </si>
  <si>
    <t>Bayou Blvd, Delcambre, LA</t>
  </si>
  <si>
    <t>UNDIVIDED INTEREST OF : 100% IN: 1-110 X 187/180 BAYOU BLVD., BAYOU TECHE, LOT 10, LOT 8 BEING LOT 9, BLK. 1, BONNE TERRE SUB LOCATED IN SEC 38, T12S, R7E ACQ: JOHN DAVID ADDITON JR THRU DONATION - 2009 (1427-239)</t>
  </si>
  <si>
    <t>SONYA RENE ADDITON</t>
  </si>
  <si>
    <t>2500 Dartmouth Ave N, St Petersburg, FL 33713</t>
  </si>
  <si>
    <t>https://www.civicsource.com/IBS24045</t>
  </si>
  <si>
    <t>707 Prioux St, LA</t>
  </si>
  <si>
    <t>UNDIVIDED INTEREST OF : 100% IN: 1- 73 X 148 PART LOT 7, PART LOT 8, PRIOUX ST, PART LOTS 18 &amp; 19 BEING S-22.5' LOT 7 &amp; N-50.5' LOT 8, BLK 7, PRIOUX SUB IMP (707 PRIOUX ST) ACQ: BRENDA B BROUSSARD - 1985 (881-473) ACQ: CHRISTOPHER RAY LELEUX, LORI L DESLATTE, DONNA L DOMINGUE, TINA L DEROUEN ACQ INT OF GLORIA GONZALES LELEUX THRU SUCC 2003 (1268-281) ACQ: FRANCIS DONALD (DONALD F) LELEUX ACQ INT OF CHRISTOPHER RAY LELEUX ETAL THRU DONATION - 2015 (1588-277)</t>
  </si>
  <si>
    <t>FRANCIS DONALD LELEUX</t>
  </si>
  <si>
    <t>707 Prioux St, New Iberia, LA 70563</t>
  </si>
  <si>
    <t>https://www.civicsource.com/IBS23819</t>
  </si>
  <si>
    <t>UNDIVIDED INTEREST OF : 100% IN: 1-50 x 100 DAUTERIVE, RANSONET, RANSONET, PUBLIC RD ACQ: OLYMPE DECOURT RANSONET - 1938 (135-125) IMP. (7805 SUGAR OAKS RD)</t>
  </si>
  <si>
    <t>DAILY SIMON</t>
  </si>
  <si>
    <t>https://www.civicsource.com/IBS23463</t>
  </si>
  <si>
    <t>628 Louise St, Loreauville, LA</t>
  </si>
  <si>
    <t>UNDIVIDED INTEREST OF : 100% IN: 1- 49 X 86 IBERIA PARISH SCHOOL BOARD, LOUISE ST, LOT 15, LOT 17 BEING LOT 16, BLK 2, MIXON SUB #1 IMP (628 LOUISE ST) ACQ: DWIGHT FAGE ETAL - 2017 (1632-19)</t>
  </si>
  <si>
    <t>ADAM W CURLEY SR</t>
  </si>
  <si>
    <t>628 Louise St, New Iberia, LA 70560</t>
  </si>
  <si>
    <t>https://www.civicsource.com/IBS23414</t>
  </si>
  <si>
    <t>516 Providence St, New Iberia, LA 70560</t>
  </si>
  <si>
    <t>https://www.civicsource.com/IBS23863</t>
  </si>
  <si>
    <t>1405 Iberia St, Jeanerette, LA</t>
  </si>
  <si>
    <t>UNDIVIDED INTEREST OF : 49% IN: 1-73/74 X 203 IBERIA ST, PART LOT 11, LOT 12, LOT 10 BEING N-PART LOT 11 AND ALSO IDENTIFIED AS LOT A OF PLAT IMP (1405 IBERIA ST) ACQ: HERBERT T ARNOLD, JR - 1996 (1116-630) ACQ: CHRISTOPHER J SMITH ACQ 49% INT OF GENE DALE THRU TAX SALE FOR NON PAYMENT OF 2013 CITY TAXES - 2014 (1561-390)</t>
  </si>
  <si>
    <t>CHRISTOPHER J SMITH</t>
  </si>
  <si>
    <t>17802 Obelisk Bay Dr, Cypress, TX 77429</t>
  </si>
  <si>
    <t>https://www.civicsource.com/IBS23043</t>
  </si>
  <si>
    <t>408 Landry Dr, LA</t>
  </si>
  <si>
    <t>UNDIVIDED INTEREST OF : 100% IN: 1-56/58 X 154/157 LANDRY DRIVE, HOUSING AUTHORITY OF N.I., LOT 40, LOT 38. BEING LOT 39, BLK A, DARBY SUBD. IMP (408 LANDRY DRIVE - DUPLEX) ACQ:JOHN HEBERT, ETAL- 2004 (1289-398)</t>
  </si>
  <si>
    <t>https://www.civicsource.com/CNI10270</t>
  </si>
  <si>
    <t>1006 Sis St, Delcambre, LA</t>
  </si>
  <si>
    <t>https://www.civicsource.com/IBS24065</t>
  </si>
  <si>
    <t>507 Julia St, LA</t>
  </si>
  <si>
    <t>UNDIVIDED INTEREST OF : 100% IN: 1- 44 X 162 JULIA ST, IBERIA BLDG ASSOC, ST MARIE, BREAUX &amp; CO IMP. (507 JULIA ST) ACQ: DEANA MARIE PICKETT DESCLOUX, LYDIA PICKETT ABDUL AND SHERYL PICKETT ACQ INT OF BARBARA FULLILOVE PICKETT THRU SUCC - 2019 (1662-432) ACQ: CLARENCE D PICKETT ACQ INT OF DEANA MARIE PICKETT DESCLOUX ETAL THRU DONATION - 2019 (1662-438)</t>
  </si>
  <si>
    <t>CLARENCE D PICKETT</t>
  </si>
  <si>
    <t>507 Julia St, New Iberia, LA 70560</t>
  </si>
  <si>
    <t>https://www.civicsource.com/CNI10402</t>
  </si>
  <si>
    <t>724 French St, LA</t>
  </si>
  <si>
    <t>UNDIVIDED INTEREST OF : 100% IN: 1- 50 X 100 ZENON, FRENCH ST, ARCENEAUX, FRERE ST BEING A PORTION OF LOT 11, BLK 342, OF CITY OF NEW IBERIA IMP (724 FRENCH ST) IMP (BEAUTY SALON) ACQ: ROOD'S REAL ESTATE LLC - 2017 (1631-216)</t>
  </si>
  <si>
    <t>BON TEMPS PROPERTIES LLC</t>
  </si>
  <si>
    <t>4400A Ambassador Caffery Pkwy #332, Lafayette, LA 70508</t>
  </si>
  <si>
    <t>https://www.civicsource.com/CNI10835</t>
  </si>
  <si>
    <t>950 Abraham Roy St, Jeanerette, LA</t>
  </si>
  <si>
    <t>UNDIVIDED INTEREST OF : 100% IN: 1-50 X 100 ANDERSON ST., LOT 21, JONES, ROBERTSON ST. BEING W-100' LOT 22, BLK 326 OF CITY. IMP (950 ABRAHAM ROY ST) ACQ: THRU PARTITION WITH WILLIAM SEGURA 1963-(430-66) ACQ: AGNES LANDRY ACQ. 1/2 INT. OF JEAN ELLIS LANDRY - 1964 (441-206) ACQ: RIGHT OF HABITATION GRANTED TO JEAN ELLIS LANDRY - 1983-(816-533) ACQ: JEAN ELLIS LANDRY ACQ 1/2 INT FROM AGNES LANDRY THRU ACT OF RETROCESSION - 1984(838-437)</t>
  </si>
  <si>
    <t>JEAN ELLIS LANDRY</t>
  </si>
  <si>
    <t>950 Abraham Roy, New Iberia, LA 70560</t>
  </si>
  <si>
    <t>https://www.civicsource.com/IBS24016</t>
  </si>
  <si>
    <t>5110 A Old Jeanerette Rd, LA</t>
  </si>
  <si>
    <t>UNDIVIDED INTEREST OF : 100% IN: 1-90 X 50 JEANLOUIS, JEANLOUIS, JEANLOUIS, DEBLANC. LOCATED IN SEC 24, T 12 S, R 7 E IMP (5110A OLD JEANERETTE RD) ACQ: DONALD W ARCHANGEL &amp; ROSEMARY ARCHANGEL LANE ACQ INT OF C J ARCHANGEL &amp; VIRGINIA WHITE ARCHANGEL THRU SUCC - 2001 (1221-489)</t>
  </si>
  <si>
    <t>DONALD WAYNE ARCHANGEL</t>
  </si>
  <si>
    <t>5634 Schevers, Houston, TX 77033</t>
  </si>
  <si>
    <t>https://www.civicsource.com/IBS25105</t>
  </si>
  <si>
    <t>5915 Sportsman Dr, LA</t>
  </si>
  <si>
    <t>UNDIVIDED INTEREST OF : 100% IN: 1-100/101 X 217/207 ITEM 2 VIATOR, SPORTSMAN DR., LOT 10, LOT 8 BEING LOT 9 OF SPORTSMAN SUB IMP (5915 SPORTSMAN DR) ITEM 1 1-50 X 201/207 ITEM 3 VIATOR, SPORTSMAN DR., LOT 9, PART LOT 8 BEING E/2 LOT 8, SPORTSMAN SUB LOCATED IN SEC 14 T 13 S R 7 E ACQ: DONALD W DERISE - 1973 (581-594) ACQ: SUCC LAWRENCE THIBODEAUX- 2008 (1404-170) ACQ: INT OF KATRINA CARRIER &amp; TODD THIBODEAUX THRU PARTITION- 2008 (1404-165)</t>
  </si>
  <si>
    <t>DOLORES THIBODEAUX</t>
  </si>
  <si>
    <t>Po Box 254, Lydia, LA 70569</t>
  </si>
  <si>
    <t>https://www.civicsource.com/IBS23499</t>
  </si>
  <si>
    <t>138 W Dale St, LA</t>
  </si>
  <si>
    <t>UNDIVIDED INTEREST OF : 100% IN: 1-50 X 59 WEBB, WEBB, DELAHOUSSAYE, DALE ST. IMP (138 W.DALE) ACQ: HOME RESOURCES, LLC- 2006 (1339-607)</t>
  </si>
  <si>
    <t>https://www.civicsource.com/IBS23152</t>
  </si>
  <si>
    <t>917 Field St, LA</t>
  </si>
  <si>
    <t>UNDIVIDED INTEREST OF : 100% IN: 1-50 X 150 FIELD ST., LOT 12, LOT 1, LOT 3 BEING LOT 2 OF PLAT. IMP (917 W FIELD ST) ACAQ: MARY MARTIN DARBY -1960 (346-92) ACQ: INTEREST OF ETHEL BROUSSARD RAYMOND THRU EXCHANGE- 1964 (434-435) ACQ: JOANN PROVOST RAYMOND ACQ. INT. OF LISA RAYMOND - 1984 (838-708) CARL BARIDEAUX - 1984 (839-839) EDWARD JAMES BARIDEAUX - 1984 (845-622) ACQ: JOANN P. RAYMOND ACQUIRED INTEREST OF SANDRA YOUMAN ALEXANDER - 1985 (884-852) ACQ: JO ANN P. RAYMOND ACQ. INT. OF VANESSA RAYMOND-1988 (940-432) SOLD TO CITY OF N.I. FOR NON-PAYMENT OF 1992 CITY TAXES - 1993 (1059-651) SOLD TO CITY OF N.I. FOR NON-PAYMENT OF 1993 CITY TAXES - 1994 (1078-647)</t>
  </si>
  <si>
    <t>JUNIUS RAYMOND ESTATE</t>
  </si>
  <si>
    <t>917 West Field St, New Iberia, LA 70560</t>
  </si>
  <si>
    <t>https://www.civicsource.com/IBS24846</t>
  </si>
  <si>
    <t>409 W Pershing St, LA</t>
  </si>
  <si>
    <t>UNDIVIDED INTEREST OF : 100% IN: 1-30 X 150 W PERSHING ST, LOT 14 BLK 18, LOT 7, PART LOT 6 BEING E/30' LOT 6, BLK 18 HOPKINS ADD ALSO BEING DESCRIBED AS LOT 4 IMP (409 WEST PERSHING ST) ACQ: CARROL RAYMOND THRU ACT OF CORRECTION TO CHANGE NAMES OF SELLER/PURCHASER - 1999 (1177-836) SOLD TO CITY OF NI IN THE NAME OF CARROL RAYMOND FOR 1999 CITY TAXES - 2000 (1200-104)</t>
  </si>
  <si>
    <t>BRENDA DAVIS PLACIDE</t>
  </si>
  <si>
    <t>https://www.civicsource.com/IBS24535</t>
  </si>
  <si>
    <t>1210 Field St, LA</t>
  </si>
  <si>
    <t>UNDIVIDED INTEREST OF : 100% IN: 1-50 X 120 LOT 9, FIELD ST., LOT 6, LOT 10 BEING LOT 8, BLK 1, WEST END SUB. IMP (1210 FIELD ST) ACQ: ALTON J. LAVINE, SR.-1961-(365-359) ACQ: LUKE E LEBLANC ACQ INT OF VIDA W LEBLANC THRU SUCC - 2003 (1271-92)</t>
  </si>
  <si>
    <t>CALVIN LEBLANC</t>
  </si>
  <si>
    <t>1210 Field St, New Iberia, LA 70560</t>
  </si>
  <si>
    <t>https://www.civicsource.com/CNI10399</t>
  </si>
  <si>
    <t>6002 Avery Island Rd, Delcambre, LA</t>
  </si>
  <si>
    <t>UNDIVIDED INTEREST OF : 100% IN: 2- 100 X 150 LOT 16, LOT 13, RD, LOT 11 &amp; PART LOTS 10 &amp; 12 BEING LOTS 14 &amp; 15, BLK 1, ST. MARCEL'S SUB IMP (6002 AVERY ISLAND RD) ACQ: JOSEPH BOURGEOIS - 1997 (1142-925)</t>
  </si>
  <si>
    <t>DAPHNE THOMAS</t>
  </si>
  <si>
    <t>105 Arbor Lane, New Iberia, LA 70560</t>
  </si>
  <si>
    <t>https://www.civicsource.com/IBS23712</t>
  </si>
  <si>
    <t>705 Courrege St, Delcambre, LA</t>
  </si>
  <si>
    <t>UNDIVIDED INTEREST OF : 100% IN: 1-50 X 108 COURREGE, LOTS 18, 19 &amp; 20, LOT 11, ?. BEING LOT 10, BLK B, WEST NEW IBERIA LAND CO. IMP (705 COURREGE ST)</t>
  </si>
  <si>
    <t>GLADYS LORENA JONES</t>
  </si>
  <si>
    <t>Po Box 12612, New Iberia, LA 70562</t>
  </si>
  <si>
    <t>https://www.civicsource.com/IBS24405</t>
  </si>
  <si>
    <t>900 Ann St, Jeanerette, LA</t>
  </si>
  <si>
    <t>UNDIVIDED INTEREST OF : 100% IN: 2-100 X 100 MAGNOLIA ST, LOT 3, ANN ST, LOT 10 BEING LOTS 1 &amp; 2, BLK 23, LEWIS ADD IMP (900 ANN ST) ITEM 2 IMP (900-1/2 ANN ST) ITEM 3 IMP (902 ANN ST) ITEM 4 ACQ: KWMAE ANDRE PETER THRU DONATION - 2015 (1585-666)</t>
  </si>
  <si>
    <t>TAWANA M LACROIX</t>
  </si>
  <si>
    <t>501 Harriet St, New Iberia, LA 70560</t>
  </si>
  <si>
    <t>https://www.civicsource.com/IBS23686</t>
  </si>
  <si>
    <t>716 Touriac St, Delcambre, LA</t>
  </si>
  <si>
    <t>https://www.civicsource.com/IBS23101</t>
  </si>
  <si>
    <t>810 Hopkins St, LA</t>
  </si>
  <si>
    <t>UNDIVIDED INTEREST OF : 100% IN: 1-50 X 150 ITEM 2 LOT 17, HOPKINS ST, LOT 14, DOMINGUE BEING LOT 15, DOMINGUE PLAT 1-50 X 140 ITEM 3 LOT 17, HOPKINS ST, LOT 15, THIBODEAUX BEING LOT 16, DOMINGUE PLAT IMP (810 HOPKINS ST - ROMERO'S QUICK STOP) ITEM 1 COMMERCIAL SITE DEVELOPMENT ITEM 4 ACQ: RENE JOSEPH ROMERO - 2010 (1462-908) ACQ: ACT OF CORRECTION - 2017 (1621-269)</t>
  </si>
  <si>
    <t>SAMUEL VIDALLIER</t>
  </si>
  <si>
    <t>810 Hopkins St, New Iberia, LA 70560</t>
  </si>
  <si>
    <t>https://www.civicsource.com/CNI10704</t>
  </si>
  <si>
    <t>Daspit Rd, LA</t>
  </si>
  <si>
    <t>UNDIVIDED INTEREST OF : 100% IN: 1-146/138 X 459/463 (1.50 AC) TRACT 4B, BAYOU TECHE, THOMAS, VIATOR BEING TRACT 4C OF PLAT LOCATED IN SEC 32, T11S, R7E ACQ: RYAN PATRICK ESTIS &amp; GAIL VIATOR 'ESTIS' - 2019 (1663-208)</t>
  </si>
  <si>
    <t>TROY J VIATOR</t>
  </si>
  <si>
    <t>6914 Daspit Rd, New Iberia, LA 70563</t>
  </si>
  <si>
    <t>https://www.civicsource.com/IBS22852</t>
  </si>
  <si>
    <t>1002 Mississippi St, LA</t>
  </si>
  <si>
    <t>UNDIVIDED INTEREST OF : 100% IN: 1-122 X 110 ITEM 1 LOT 4, CLETUS ST, LANDRY, MISSISSIPPI ST BEING LOTS 1,2 &amp; 3, BLK 1, CLETUS LANDRY SUB IMP (B &amp; B GROCERY-1002 MISS ST) ITEM 3 IMP (1002 MISSISSIPPI ST) ITEM 4 LAND COMM SITE DEVELOPMENT ITEM 5 ACQ: B &amp; B GROCERY INC - 2017 (1620-84)</t>
  </si>
  <si>
    <t>SALMAN MUFTAH</t>
  </si>
  <si>
    <t>522 Bayard St, New Iberia, LA 70560</t>
  </si>
  <si>
    <t>https://www.civicsource.com/CNI9833</t>
  </si>
  <si>
    <t>1402 Tarleton St, LA</t>
  </si>
  <si>
    <t>UNDIVIDED INTEREST OF : 100% IN: 1- 56 X 147 MOURET, TARLETON ST., BOURG ST, MOURET BEING LOT 2, BLK 4, JEANERETTE LUMBER &amp; SHINGLE CO PROPERTY IMP (1402 TARLETON ST) ACQ: BOYD J MOURET, JR ETAL - 2001 (1212-256)</t>
  </si>
  <si>
    <t>https://www.civicsource.com/IBS24527</t>
  </si>
  <si>
    <t>409 Deare St, Jeanerette, LA</t>
  </si>
  <si>
    <t>405 Deare St, New Iberia, LA 70560</t>
  </si>
  <si>
    <t>https://www.civicsource.com/IBS24357</t>
  </si>
  <si>
    <t>1514 St Joseph St, Loreauville, LA</t>
  </si>
  <si>
    <t>UNDIVIDED INTEREST OF : 100% IN: 1-50 X 120 PART LOTS 3 &amp; 4, ST JOSEPH ST, PART LOT 17, PART LOT 18 BEING E-6' LOT 18 &amp; W-44' LOT 17, BLK 11, ROMERO SUB IMP (1514 ST JOSEPH ST) ACQ: JOHNELL LEWIS - 2010 (1474-149)</t>
  </si>
  <si>
    <t>KATRESSA L DAVIS</t>
  </si>
  <si>
    <t>1341 Twenty Arpent Rd #64L, New Iberia, LA 70560</t>
  </si>
  <si>
    <t>https://www.civicsource.com/IBS23758</t>
  </si>
  <si>
    <t>170 Eckart Dr, LA</t>
  </si>
  <si>
    <t>UNDIVIDED INTEREST OF : 100% IN: 1- 80 X 137 LOTS 30 &amp; 31, ECKART DR., LOT 2, LOT 4 BEING LOT 3, BLK B, HILLTOP ACRES ADD. IMP (170 ECKART DR) ACQ: SUCC ALINE B. DORE&amp; SUCC. HORACE DORE &amp; RONALD DORE ETAL- 2002 (1252-1) ACQ: INT OF HANSEL LANCON THRU DONATION- 2004 (1280-369)</t>
  </si>
  <si>
    <t>EUNICE GRANGER LANCON</t>
  </si>
  <si>
    <t>170 Eckart Dr, New Iberia, LA 70560</t>
  </si>
  <si>
    <t>https://www.civicsource.com/IBS22983</t>
  </si>
  <si>
    <t>433 Evangeline St, Jeanerette, LA</t>
  </si>
  <si>
    <t>https://www.civicsource.com/IBS24702</t>
  </si>
  <si>
    <t>125 Emma St, Jeanerette, LA</t>
  </si>
  <si>
    <t>311 W Judy St, Delcambre, LA 70528</t>
  </si>
  <si>
    <t>https://www.civicsource.com/IBS23370</t>
  </si>
  <si>
    <t>3209 George Sigue Rd, Jeanerette, LA</t>
  </si>
  <si>
    <t>UNDIVIDED INTEREST OF : 100% IN: 4.02 AC... (215 X 816) PARISH ROAD 902, MENARD, BARROW, BERTRAND BEING THE EASTERN HALF OF LOT 4 LOCATED IN SEC. 19 T 12 S, R 6 E. ACQ: JEREMY E VERRET - 2004 (1293-342) MODULAR HOME (3209 GEORGE SIGUE RD)</t>
  </si>
  <si>
    <t>ROBERT THEODORE MELANCON</t>
  </si>
  <si>
    <t>3209 George Sigue Rd, New Iberia, LA 70560</t>
  </si>
  <si>
    <t>https://www.civicsource.com/IBS24014</t>
  </si>
  <si>
    <t>704 Ann St, New Iberia, LA</t>
  </si>
  <si>
    <t>UNDIVIDED INTEREST OF : 100% IN: 1- 50 X 122/124 LOT 3, ANN ST, LOT 15, LOT 17 BEING LOT 16, BLK 390, CITY MAP &amp; LIKEWISE BEING LOT 3, BLK 18, LEWIS EXT IMP (704 ANN ST) ACQ: ARTHUR ROGERS JR.-1976 (651-467) ACQ: C &amp; G BROUSSARD HOLDINGS LLC ACQ INT OF CENTRAL PROPERTIES/BMO HARRIS THRU PARISH TAX SALE - 2015 (1584-353)</t>
  </si>
  <si>
    <t>https://www.civicsource.com/IBS24667</t>
  </si>
  <si>
    <t>8617 #1 Chastant Rd, LA</t>
  </si>
  <si>
    <t>UNDIVIDED INTEREST OF : 100% IN: 1-48/60 X 135 FABRE &amp; CHASTANT ROAD, LOT 4, CHASTANT ROAD, FABRE &amp; LOT 4. LOCATED IN SEC. 47, T 11 S,R 5 E. ACQ: EXO &amp; *MARIE FABRE*-1992 (1034-249) MOBILE HOME (8617 #1 CHASTANT RD) SER# NTA1470256</t>
  </si>
  <si>
    <t>DANNY SMALLING</t>
  </si>
  <si>
    <t>8617 Chastant Rd, New Iberia, LA 70560</t>
  </si>
  <si>
    <t>https://www.civicsource.com/IBS22986</t>
  </si>
  <si>
    <t>617 Julia St, LA</t>
  </si>
  <si>
    <t>UNDIVIDED INTEREST OF : 100% IN: 1- 65 X 134 JULIA ST, BOURQUE, BLANCHET, DANCAUSSE BEING LOT 6, BLK 355, CITY MAP IMP (617 JULIA ST) ACQ: CARLETTA A MANUEL THRU SHERIFF'S SALE - 2019 (1663-145)</t>
  </si>
  <si>
    <t>MORGAN, J P MORTGAGE ACQUISITION CORP</t>
  </si>
  <si>
    <t>8742 Lucent Blvd, Ste 300, Highlands Ranch, CO 80129</t>
  </si>
  <si>
    <t>https://www.civicsource.com/CNI10433</t>
  </si>
  <si>
    <t>https://www.civicsource.com/IBS24816</t>
  </si>
  <si>
    <t>407 Kathryn St, LA</t>
  </si>
  <si>
    <t>UNDIVIDED INTEREST OF : 100% IN: 1- 111/85 X 115/120 KATHRYN ST, LOT 13R, LOT 13, HOWARD ST BEING TRACT 5A OF OAK RIDGE SUB, PART I IMP (407 KATHRYN ST) ACQ: PEGGY RUTH HYMEL VICE - 2018 (1645-169)</t>
  </si>
  <si>
    <t>SHANNON MARIE HAGAN</t>
  </si>
  <si>
    <t>407 Kathryn St, New Iberia, LA 70560</t>
  </si>
  <si>
    <t>https://www.civicsource.com/IBS23501</t>
  </si>
  <si>
    <t>504 Baker St, LA</t>
  </si>
  <si>
    <t>UNDIVIDED INTEREST OF : 100% IN: 1-60 X 60 CROSBY, MOLO, LAPORTE EST, BAKER ST. ACQ: ELIZABETH D.HEBERT ETAL-1976 (646-202) IMP (504 BAKER ST)</t>
  </si>
  <si>
    <t>LUEVENIA CERF</t>
  </si>
  <si>
    <t>1037 Eagle St, Franklin, LA 70538</t>
  </si>
  <si>
    <t>https://www.civicsource.com/IBS24244</t>
  </si>
  <si>
    <t>308 Moroco Aly, Loreauville, LA</t>
  </si>
  <si>
    <t>922 French St, New Iberia, LA 70560</t>
  </si>
  <si>
    <t>https://www.civicsource.com/IBS24417</t>
  </si>
  <si>
    <t>108 Belle Haven Dr, LA</t>
  </si>
  <si>
    <t>UNDIVIDED INTEREST OF : 100% IN: 1- 70 X 151/153 BEING LOT 4, BLK 2, SAINTES ADDITION IMP (108 BELLE HAVEN DR) ACQ: ROOD'S REAL ESTATE LLC - 2017 (1636-817)</t>
  </si>
  <si>
    <t>4440-A Ambassador Caffery Parkway, #332, Lafayette, LA 70508</t>
  </si>
  <si>
    <t>https://www.civicsource.com/CNI10179</t>
  </si>
  <si>
    <t>https://www.civicsource.com/IBS23223</t>
  </si>
  <si>
    <t>536 Lafayette St, Jeanerette, LA</t>
  </si>
  <si>
    <t>https://www.civicsource.com/IBS23693</t>
  </si>
  <si>
    <t>706 Lasalle St, LA</t>
  </si>
  <si>
    <t>UNDIVIDED INTEREST OF : 100% IN: 1-50 X 100 LOT 15, LOT 17, BOB ST (SHORT LASALLE ST), LOT 9. IMP (706 LASALLE ST) ACQ: ESTATE OF LUCHES LAVINE - 2006 (1350-939)</t>
  </si>
  <si>
    <t>PLEASURE PATRICIA DOMINIQUE</t>
  </si>
  <si>
    <t>https://www.civicsource.com/IBS23261</t>
  </si>
  <si>
    <t>8605 General Middleton St, Loreauville, LA</t>
  </si>
  <si>
    <t>UNDIVIDED INTEREST OF : 100% IN: 0.94 AC... BEING LOT 31, CAPTAIN CADE HEIGHTS. LOCATED IN SECS. 27 &amp; 28, T11S, R5E IMP (M/H - 8605 GENERAL MIDDLETON ST) SER# 12006092 ACQ: RUSSELLE ANN ROMERO - 2019 (1663-155)</t>
  </si>
  <si>
    <t>ASHLEY THERIOT</t>
  </si>
  <si>
    <t>1904 N Avenue, Crowley, LA 70526</t>
  </si>
  <si>
    <t>https://www.civicsource.com/IBS25094</t>
  </si>
  <si>
    <t>627 Field St, Delcambre, LA</t>
  </si>
  <si>
    <t>https://www.civicsource.com/IBS24390</t>
  </si>
  <si>
    <t>2016 Duboin Rd, Jeanerette, LA</t>
  </si>
  <si>
    <t>UNDIVIDED INTEREST OF : 100% IN: 1-126 X 538 (1.56 AC.) DUBOIN RD, FISHER, BADEAUX, BADEAUX. LOCATED IN SEC. 35, T 12 S,R 6 E. ACQ: LILLIAN P. BADEAUX-1997 (1138-865) IMP (2016 DUBOIN RD) ACQ: PLAT - 2015 (1584-740)</t>
  </si>
  <si>
    <t>https://www.civicsource.com/IBS25026</t>
  </si>
  <si>
    <t>529 Amb Wilbert Lemelle, Loreauville, LA</t>
  </si>
  <si>
    <t>https://www.civicsource.com/IBS23121</t>
  </si>
  <si>
    <t>1503 Rogers St, New Iberia, LA</t>
  </si>
  <si>
    <t>https://www.civicsource.com/IBS24329</t>
  </si>
  <si>
    <t>637 Hebert St, Loreauville, LA</t>
  </si>
  <si>
    <t>UNDIVIDED INTEREST OF : 100% IN: 1- 50 X 100 EDWARDS, DUROCHER AVE, HEBERT ST, WALKER IMP (637 HEBERT ST) ACQ: APRIL F FOULCARD, ANTIGONE FRANCIS &amp; BERWICK FRANCIS JR ACQ INT OF VERSIE FLETCHER 'LITEL' THRU SUCC - 2018 (1649-411)</t>
  </si>
  <si>
    <t>APRIL F FOULCARD</t>
  </si>
  <si>
    <t>702 Hebert St, Jeanerette, LA 70544</t>
  </si>
  <si>
    <t>https://www.civicsource.com/IBS23110</t>
  </si>
  <si>
    <t>https://www.civicsource.com/IBS25288</t>
  </si>
  <si>
    <t>1210 Center St, LA</t>
  </si>
  <si>
    <t>UNDIVIDED INTEREST OF : 100% IN: 1 - 50 X 175 ITEM 1 CARSTENS &amp; VINCENT, CENTER ST, ROMERO, CARSTENS IMP (1210 CENTER ST - COMM BLDG) ITEM 4 IMP (1210 CENTER ST - UPSTAIRS APT) ITEM 3 LAND COMM SITE DEVELOPMENT ITEM 2 ACQ: EDITH LEBLANC BORELTHRU DONATION - 2014 (1558-387)</t>
  </si>
  <si>
    <t>JAMIE LYN PROVOST</t>
  </si>
  <si>
    <t>5118 Creighton Heights, New Iberia, LA 70560</t>
  </si>
  <si>
    <t>https://www.civicsource.com/CNI9897</t>
  </si>
  <si>
    <t>https://www.civicsource.com/CNI10126</t>
  </si>
  <si>
    <t>1117 Lombard St, LA</t>
  </si>
  <si>
    <t>UNDIVIDED INTEREST OF : 100% IN: 2-100 X 124 LOMBARD ST., LOTS 9 &amp; 10, LOT 1, LOT 4. BEING LOTS 2 &amp; 3, BLK 5, COURREGE SUB. IMP (1117 LOMBARD ST) ITEM 1 IMP (1103 LOMBARD ST) ITEM 3 ACQ: JOS. M. WILLIAMS THRU I.B.A.-1958- (307-309)</t>
  </si>
  <si>
    <t>https://www.civicsource.com/IBS23503</t>
  </si>
  <si>
    <t>105 Aline St, LA</t>
  </si>
  <si>
    <t>UNDIVIDED INTEREST OF : 100% IN: 1- 91/145 X 171/187 BAYOU TECHE, ALINE ST, TRAPPEY, VOORHIES BEING LOT 3, BLK 2, SEGURA SUB IMP (105 ALINE ST) ACQ: LUIS BRAVO ROMERO ETAL - 2016 (1599-786) ACQ: JEFFREY GORDON WEISS THRU TRANSFER - 2017 (1625-664)</t>
  </si>
  <si>
    <t>JEFFREY G WEISS</t>
  </si>
  <si>
    <t>2218 S Harvard Blvd, Los Angeles, CA 90018</t>
  </si>
  <si>
    <t>https://www.civicsource.com/CNI10706</t>
  </si>
  <si>
    <t>1100 Sis St, LA</t>
  </si>
  <si>
    <t>UNDIVIDED INTEREST OF : 100% IN: 1-50 X 124 ITEM 1 SIS ST., RENE ST., PAUL ST., LOTS 2 &amp; 9 BEING LOTS 1, 8, BLK 8,,COURREGE SUB IMP (804 PAUL ST) ITEM 2 IMP (806 PAUL ST) ITEM 3 ACQ: CURTIS JACQUET- 2007 (1359-470) IMP (808 PAUL ST) ITEM 4 IMP (802 PAUL ST) ITEM 5</t>
  </si>
  <si>
    <t>https://www.civicsource.com/CNI10316</t>
  </si>
  <si>
    <t>1700 Frenchie Rd, LA</t>
  </si>
  <si>
    <t>UNDIVIDED INTEREST OF : 100% IN: 1-200 X 216 LINNARTZ, PRIVATE ROAD, NEISSER, DARBY BEING LOTS 6 &amp; 7 ON PLAT OF PROPERTY OF RICHARD DARBY LOCATED IN SEC. 56, T 12 S,R 5 E. IMP (1700 FRENCHIE RD) IMP (1614 FRENCHIE RD) ACQ: SUCC WHITNEY KREPPER JR- 2009 (1433-264) ACQ: WHITNEY W HULL THRU TAX SALE FOR NON-PAYMENT OF 2018 PARISH TAXES - 2019 (1668-714)</t>
  </si>
  <si>
    <t>MICHAEL ERIC LEDET</t>
  </si>
  <si>
    <t>1018 Olanda Rd, Arnaudville, LA 70512</t>
  </si>
  <si>
    <t>https://www.civicsource.com/IBS24260</t>
  </si>
  <si>
    <t>Hwy 90, LA</t>
  </si>
  <si>
    <t>UNDIVIDED INTEREST OF : 100% IN: 0.52 AC.... LOT 2A, LOT 2D &amp; 2E, U.S. HWY. 90 SERVICE ROAD, LOT 2B BEING LOT 2C OF PLAT LOCATED IN SEC 84, T12S, R6E ACQ: TOUCHDOWN SERVICES LLC - 2014 (1559-62) ACQ: ACT OF CORRECTION - 2015 (1590-921)</t>
  </si>
  <si>
    <t>SPIKES ENTERPRISES LLC</t>
  </si>
  <si>
    <t>102 Trenton Dr, Youngsville, LA 70592</t>
  </si>
  <si>
    <t>https://www.civicsource.com/IBS24814</t>
  </si>
  <si>
    <t>210 Rouly St, LA</t>
  </si>
  <si>
    <t>UNDIVIDED INTEREST OF : 100% IN: 1-52 X 120 ITEM 2 JEFFERSON ST, LOT 7, LOT 2, ROULY ST BEING LOT 1, BLK 8, ROULY ADD IMP (210 ROULY ST) ITEM 1 IMP (212 ROULY ST) ITEM 3 IMP (208 ROULY ST) ITEM 6 1-52 X 119 ITEM 7 LOT 1, EDEN ST, LOT 8, ROULY ST BEING LOT 7, BLK 8, ROULY SUB IMP (204 ROULY ST) ITEM 4 IMP (206 ROULY ST) ITEM 5 ACQ: BARBARA D ROBERTS - 2015 (1590-43)</t>
  </si>
  <si>
    <t>BRADLEY JAMES MOORE</t>
  </si>
  <si>
    <t>1008 Deanna Lane, Broussard, LA 70518</t>
  </si>
  <si>
    <t>https://www.civicsource.com/IBS23926</t>
  </si>
  <si>
    <t>715 Park Ave, LA</t>
  </si>
  <si>
    <t>UNDIVIDED INTEREST OF : 100% IN: 1- 50 X 150 LOT 10, LOT 8, LOT 4, PARK AVE BEING LOT 9, BLK 298, CITY MAP IMP (715 PARK AVE) ACQ: SJ ENDEAVORS LLC - 2019 (1665-312)</t>
  </si>
  <si>
    <t>KERBERT VALLERE JR</t>
  </si>
  <si>
    <t>709 Cherokee St, New Iberia, LA 70560</t>
  </si>
  <si>
    <t>https://www.civicsource.com/IBS24947</t>
  </si>
  <si>
    <t>939 Walton St, New Iberia, LA</t>
  </si>
  <si>
    <t>UNDIVIDED INTEREST OF : 100% IN: 1-75 X 132 WALTON ST., LASALLE, WANA ALLEY, DALE ST. IMP (939 WALTON ST) ACQ: JEFF CLAY THRU TAX DEED FOR 2003 CITY TAXES 2004 (1281-1042)</t>
  </si>
  <si>
    <t>https://www.civicsource.com/IBS23651</t>
  </si>
  <si>
    <t>131 Bank Ave, Delcambre, LA</t>
  </si>
  <si>
    <t>https://www.civicsource.com/IBS24378</t>
  </si>
  <si>
    <t>718 Cypremort St, LA</t>
  </si>
  <si>
    <t>UNDIVIDED INTEREST OF : 100% IN: 1-55 X 200 BOUY, MCLLOYD, GREEN, CYPRESS ST. IMP (718 CYPREMORT ST) ACQ: JOHN &amp; CHARLES EDWARDS ACQ 1/2 INT OF SUSAN EDWARDS THRU SUCC - 1999 (1188-102) ACQ: MIDWEST MGMT/BMO HARRIS ACQ INT OF EDMOND EDWARD JR ESTATE THRU TAX SALE FOR NON PAYMENT OF 2013 PARISH TAXES - 2014 (1561-290)</t>
  </si>
  <si>
    <t>405 N 115Th St,, Ste 100, Omaha, NE 68154</t>
  </si>
  <si>
    <t>https://www.civicsource.com/IBS23575</t>
  </si>
  <si>
    <t>1307 Patout St, LA</t>
  </si>
  <si>
    <t>UNDIVIDED INTEREST OF : 92% IN: 1- 90/92 X 160/164 LOT 9, PATOUT ST, IBERIA SOUTHPORT CORP, LOT 11 BEING LOT 10, BLK 1, PART 1, SOUTHPORT SUB IMP (1307 PATOUT ST) ACQ: LEROY DAUTREUIL - 2008 (1391-623) ACQ: CYCLONE ASSETS ACQ 92% INT OF WAYNE DORSEY THRU TAX SALE FOR NON PAYMENT OF 2018 PARISH TAXES - 2019 (1668-777)</t>
  </si>
  <si>
    <t>CYCLONE ASSETS WITH UNION BANK AS SECURED PARTY</t>
  </si>
  <si>
    <t>https://www.civicsource.com/CNI10069</t>
  </si>
  <si>
    <t>3614 Livingston Rd, LA</t>
  </si>
  <si>
    <t>UNDIVIDED INTEREST OF : 100% IN: 1.24 AC... CAHEE ESTATE, HARRISON, ROAD, CAHEE ESTATE LOCATED IN SEC 36, T12S, R5E IMP (3614 LIVINGSTON RD) ITEM 1 ACQ: CEVRLIA SEGURA ALLEMAN - 2018 (1644-17)</t>
  </si>
  <si>
    <t>5608 Roy Reaux Rd, Youngsville, LA 70592</t>
  </si>
  <si>
    <t>https://www.civicsource.com/IBS22972</t>
  </si>
  <si>
    <t>107 Breaux St, LA</t>
  </si>
  <si>
    <t>UNDIVIDED INTEREST OF : 100% IN: 1- 65/54 X 78/79 ITEM 2 BERARD, BREAUX ST, LOT 3, LOT 1 BEING LOT 2 OF REVISED PLAT IMP (107 BREAUX ST) ITEM 1 1- 20 X 79 ITEM 3 BERARD, BREAUX ST, PART LOT 3, LOT 2 BEING W-20' OF LOT 3 OF PLAT ACQ: MARVIN BROUSSARD AND AIMEE DEGEYTER WILLIAMS ACQ INT OF ALINE MOUTON BROUSSARD THRU SUCC - 2018 (1646-539) AND THRU ACT OF CORRECTION - 2018 (1648-393) ACQ: MARVIN BROUSSARD ACQ INT OF EDWIGE BROUSSARD THRU SUCC - 2018 (1646-543) AND THRU ACT OF CORRECTION - 2018 (1648-393) ACQ: CHARLES E WILLIAMS ACQ INT OF AIMEE DEGEYTER WILLIAMS THRU SUCC - 2018 (1647-239) AND THRU AMENDED JUDGMENT OF POSSESSION - 2018 (1651-875) ACQ: INT OF CHARLES E WILLIAMS THRU DONATION - 2018 (1652-821)</t>
  </si>
  <si>
    <t>MARVIN BROUSSARD</t>
  </si>
  <si>
    <t>900 Orange Grove Ave, New Iberia, LA 70560</t>
  </si>
  <si>
    <t>https://www.civicsource.com/IBS23864</t>
  </si>
  <si>
    <t>https://www.civicsource.com/IBS25181</t>
  </si>
  <si>
    <t>1414 Montagne St, LA</t>
  </si>
  <si>
    <t>UNDIVIDED INTEREST OF : 100% IN: 1- LOT BEING LOT 11, BLK 5 SOUTHPORT SUB. PART II ACQ: CITY OF NEW IBERIA - 1992 (1027-430) IMP (1414 MONTAGNE ST) SOLD TO CITY OF NI FOR 1998 CITY TAXES - 1999 (1179-456) SOLD TO CITY OF NI FOR 2001 CITY TAXES - 2002 (1242-708)</t>
  </si>
  <si>
    <t>DAVID L DOMINIQUE</t>
  </si>
  <si>
    <t>1414 Montagne Street, New Iberia, LA 70560</t>
  </si>
  <si>
    <t>https://www.civicsource.com/CNI10120</t>
  </si>
  <si>
    <t>616 Robertson St, Loreauville, LA</t>
  </si>
  <si>
    <t>https://www.civicsource.com/IBS23746</t>
  </si>
  <si>
    <t>https://www.civicsource.com/IBS24225</t>
  </si>
  <si>
    <t>335 Deare St, Delcambre, LA</t>
  </si>
  <si>
    <t>1057 Mustang Dr, St Martinville, LA 70582</t>
  </si>
  <si>
    <t>https://www.civicsource.com/IBS24401</t>
  </si>
  <si>
    <t>137 Ann St, LA</t>
  </si>
  <si>
    <t>UNDIVIDED INTEREST OF : 100% IN: 1- 66/63 X 107/97 LOT 14, CHARLES ST, PATOUT, ANN ST BEING PART LOT 13 BLK 5, LEWIS ADDITION IMP (137 ANN ST) ACQ: ST MARTIN BANK &amp; TRUST CO - 2017 (1636-219)</t>
  </si>
  <si>
    <t>1519 Mullins Rd, New Iberia, LA 70560</t>
  </si>
  <si>
    <t>https://www.civicsource.com/IBS24146</t>
  </si>
  <si>
    <t>2510 Howard Segura Rd, Loreauville, LA</t>
  </si>
  <si>
    <t>UNDIVIDED INTEREST OF : 100% IN: 0.57 AC.. LOT 2A, LOT 2D, LOT 2C, PARISH ROAD NO. 515 BEING LOT 2B OF PLAT LOCATED IN SEC 84, T12S, R6E ACQ: TOUCHDOWN SERVICES LLC - 2014 (1559-62) ACQ: ACT OF CORRECTION - 2015 (1590-921)</t>
  </si>
  <si>
    <t>https://www.civicsource.com/IBS24078</t>
  </si>
  <si>
    <t>401 Linda Dr, LA</t>
  </si>
  <si>
    <t>UNDIVIDED INTEREST OF : 100% IN: 1- 90 X 100 LINDA DR, SPANISH LAKE ESTATES SUBDIVISION, LAKESIDE DR, LOT 12 BEING LOT 14, SPANISH LAKE TOWN HOUSE SITES LOCATED IN SEC 10, T12S, R6E ACQ: BAUKJE ANNEKE HOEKSTRA CASHEN ETAL - 2011 (1479-29) IMP (401 LINDA DR)</t>
  </si>
  <si>
    <t>JOHN F ROANE</t>
  </si>
  <si>
    <t>401 Linda Dr, New Iberia, LA 70563</t>
  </si>
  <si>
    <t>https://www.civicsource.com/CNI10473</t>
  </si>
  <si>
    <t>304 Deare St, New Iberia, LA</t>
  </si>
  <si>
    <t>UNDIVIDED INTEREST OF : 49% IN: 1-74 X 130 LOT 8, LOT 10, DEARE ST, LOT 11. BEING LOT 9, TWIN CIRCLE SUB. IMP (304 DEARE ST.) ACQ: MERCEDES BAREFOOT *WALKER* WEEKLY -2001 (1221-200) ACQ: MIDWEST MGMT/BMO HARRIS ACQ 1% INT OF CHARLES MCCALLISTER JR THRU TAX SALE FOR NON PAYMENT OF 2013 PARISH TAXES - 2014 (1561-288) ACQ: MIDWEST MGMT/BMO HARRIS ACQ 1% INT OF CHARLES MCCALLISTER JR THRU TAX SALE FOR NON PAYMENT OF 2013 CITY TAXES - 2014 (1561-501) ACQ: MIDWEST MGMT/BMO HARRIS ACQ 1% INT OF CHARLES MCCALLISTER JR THRU TAX SALE FOR NON PAYMENT OF 2014 CITY TAXES - 2015 (1585-345)</t>
  </si>
  <si>
    <t>CHARLES L MCCALISTER JR</t>
  </si>
  <si>
    <t>7200 Leleux Rd, New Iberia, LA 70560</t>
  </si>
  <si>
    <t>https://www.civicsource.com/IBS23345</t>
  </si>
  <si>
    <t>304 Deare St, Delcambre, LA</t>
  </si>
  <si>
    <t>BRENDA BUMGARDEN MCCALISTER</t>
  </si>
  <si>
    <t>https://www.civicsource.com/IBS23390</t>
  </si>
  <si>
    <t>2611 Dalbor St, LA</t>
  </si>
  <si>
    <t>UNDIVIDED INTEREST OF : 100% IN: 1- 50 X 125 D'ALBOR, HUBERTVILLE ROAD, D'ALBOR ST, LOT 3 BEING LOT 2 OF EVERETTE GOUNER SUB. IMP (M/H - 2611 DALBOR ST) SER# 32245 ACQ: NATIONAL CITY BANK - 2005 (1306-33)</t>
  </si>
  <si>
    <t>KENNETH J JOHNSON</t>
  </si>
  <si>
    <t>Po Box 942, Youngsville, LA 70592</t>
  </si>
  <si>
    <t>https://www.civicsource.com/IBS23795</t>
  </si>
  <si>
    <t>210 Dark Aly, LA</t>
  </si>
  <si>
    <t>MARY VIATOR CHARLES MRS %</t>
  </si>
  <si>
    <t>https://www.civicsource.com/CNI9995</t>
  </si>
  <si>
    <t>309 Fontelieu Dr, Delcambre, LA</t>
  </si>
  <si>
    <t>https://www.civicsource.com/IBS24726</t>
  </si>
  <si>
    <t>https://www.civicsource.com/IBS23899</t>
  </si>
  <si>
    <t>1320 Iberia St, LA</t>
  </si>
  <si>
    <t>UNDIVIDED INTEREST OF : 100% IN: 1- 115 X 133/134 LOTS 16 &amp; 22, IBERIA ST, PART LOT 18, LOT 20 BEING W-57' LOT 18 &amp; ALL LOT 19, BLK A REYNOLDS SUB IMP(1320 IBERIA ST) ACQ: ELLIS JOSEPH HARGRAVE AND FLORENCE BROUSSARD HARGRAVE THRU JACQUELINE H DUGAS - 2018 (1643-598)</t>
  </si>
  <si>
    <t>BRANDON REAL ESTATE LLC</t>
  </si>
  <si>
    <t>4400A Ambassador Caffery, #332, Lafayette, LA 70508</t>
  </si>
  <si>
    <t>https://www.civicsource.com/CNI10261</t>
  </si>
  <si>
    <t>https://www.civicsource.com/IBS24494</t>
  </si>
  <si>
    <t>909 Henshaw Dr, Delcambre, LA</t>
  </si>
  <si>
    <t>https://www.civicsource.com/IBS23406</t>
  </si>
  <si>
    <t>1707 Anderson St, LA</t>
  </si>
  <si>
    <t>https://www.civicsource.com/CNI9910</t>
  </si>
  <si>
    <t>https://www.civicsource.com/CNI10482</t>
  </si>
  <si>
    <t>3504 Vida Shaw Rd, LA</t>
  </si>
  <si>
    <t>UNDIVIDED INTEREST OF : 100% IN: 2.68 AC.. (597/650 X 408) VIDA ROAD, MISSOURI PACIFIC RR, ROAD &amp; RAILROAD, LOT 4 BEING LOT 3 OF PLAT OF PARTITION LOCATED IN SEC. 58, T 12 S,R 7 E ACQ: ALICE G ESTILETTE THRU DONATION THRU DONALD ESTILETTE ETALS THRU PARTITION - 1991 (1015-91)</t>
  </si>
  <si>
    <t>2816 Teche Lake Canal, New Iberia, LA 70563</t>
  </si>
  <si>
    <t>https://www.civicsource.com/IBS22968</t>
  </si>
  <si>
    <t>7616 Old Jeanerette Rd, LA</t>
  </si>
  <si>
    <t>UNDIVIDED INTEREST OF : 100% IN: 1- LOT JOHNSON, PAUL, HARRY, BROWN LOCATED IN SEC 28 AND/OR 29, T12S, R7E IMP (7616 OLD JEANERETTE RD) ACQ: ANNIE BERARD RIDEAUX ETAL -2016 (1601-1)</t>
  </si>
  <si>
    <t>A&amp;A RENTAL ESTATES LLC</t>
  </si>
  <si>
    <t>https://www.civicsource.com/IBS24209</t>
  </si>
  <si>
    <t>107 Delasalle Dr, Jeanerette, LA</t>
  </si>
  <si>
    <t>https://www.civicsource.com/IBS24008</t>
  </si>
  <si>
    <t>61 Vine St, LA</t>
  </si>
  <si>
    <t>UNDIVIDED INTEREST OF : 100% IN: 1-100 X 150 FULTON ST, MOURET, VINE ST, SIMON BEING LOTS 10 &amp; 12, CITY BLK 164 IMP (61 VINE ST) ITEM 1 IMP (62 VINE ST 'A') ITEM 2 IMP (62 VINE ST 'B') ITEM 5 IMP (GARAGE APT- 703 FULTON ST) ITEM 3 ACQ: RICHARD TUCKER- 2006 (1339-607)</t>
  </si>
  <si>
    <t>https://www.civicsource.com/CNI10019</t>
  </si>
  <si>
    <t>https://www.civicsource.com/IBS24121</t>
  </si>
  <si>
    <t>604 E Pershing St, LA</t>
  </si>
  <si>
    <t>UNDIVIDED INTEREST OF : 100% IN: 1-32 X 100 PART LOT 17, LOT 16, PERSHING ST, LOT 8 BEING NE PART LOT 17, BLK 3, IBERIA PARK SUB IMP (604 E PERSHING ST) ACQ: 1952 OR 1953 ACQ: MARCUS PELLERIN ACQ INT OF LEONARD BUTLER THRU TAX DEED- 2005 (1308-228)</t>
  </si>
  <si>
    <t>MARCUS PELLERIN</t>
  </si>
  <si>
    <t>8508 Hwy 182, Franklin, LA 70538</t>
  </si>
  <si>
    <t>https://www.civicsource.com/CNI9965</t>
  </si>
  <si>
    <t>125 Breck St, New Iberia, LA</t>
  </si>
  <si>
    <t>UNDIVIDED INTEREST OF : 100% IN: 1-75 X 88 BRECK ST, GONSOULIN, BOZE, PITRE IMP (125 BRECK ST) ACQ: REYNOLDS J LANDRY - 2013 (1540-737) ACQ: OLIVIER OAKS INVESTMENTS LLC ACQ INT OF JASON M OLIVIER THRU TRANSFER - 2016 (1599-307) ACQ: DANIEL GERARD DWORACZYK ACQ 99% INT OF OLIVIER OAKS INVESTMENTS LLC THRU TAX SALE - 2119 (1669-105)</t>
  </si>
  <si>
    <t>https://www.civicsource.com/IBS23009</t>
  </si>
  <si>
    <t>111 Iberia St, Delcambre, LA</t>
  </si>
  <si>
    <t>https://www.civicsource.com/IBS25040</t>
  </si>
  <si>
    <t>9910 Eighty Arpent Rd, LA</t>
  </si>
  <si>
    <t>UNDIVIDED INTEREST OF : 100% IN: 0.76 AC... ROAD, F &amp; A R.R., DELAHOUSSAYE, GOULA IMP. (9910 EIGHTY ARPENT RD) ACQ: IN PARTITION WITH CORNELIUS SLAUGHTER &amp; ALFRED GOULA-1957</t>
  </si>
  <si>
    <t>CORNELUIS SLAUGHTER</t>
  </si>
  <si>
    <t>9910 Eighty Arpent Rd, Jeanerette, LA 70544</t>
  </si>
  <si>
    <t>https://www.civicsource.com/IBS24565</t>
  </si>
  <si>
    <t>https://www.civicsource.com/IBS23172</t>
  </si>
  <si>
    <t>202 Chestnut St, Loreauville, LA</t>
  </si>
  <si>
    <t>https://www.civicsource.com/IBS23741</t>
  </si>
  <si>
    <t>204 S Cotton St, LA</t>
  </si>
  <si>
    <t>UNDIVIDED INTEREST OF : 100% IN: 1-60 X 127 LOT D, LOT F, BOUTTE EST, SOUTH COTTON RD. BEING LOT E OF PLAT. LOCATED IN SEC. 24, T 12 S,R 7 E. IMP (204 COTTON ST) ACQ: SUCC.FELECIE GREEN -1975 (608-355) ACQ: SUCC ALBERT MOORE SR- 2006 (1324-162)</t>
  </si>
  <si>
    <t>DOROTHY MOORE WILLIAMS</t>
  </si>
  <si>
    <t>1234 Field St, New Iberia, LA 70560</t>
  </si>
  <si>
    <t>https://www.civicsource.com/IBS23245</t>
  </si>
  <si>
    <t>505 Field St, New Iberia, LA</t>
  </si>
  <si>
    <t>UNDIVIDED INTEREST OF : 100% IN: 1-50 X 150 SECOND ST(FIELD ST), DOMINGUES, CHARGOIS, LOT 15. IMP (505 WEST FIELD ST.) ACQ: CONGREGATION OF ST EDWARDS ROMAN CATHOLIC CHURCH THRU DONATION- 2008 (1414-291)</t>
  </si>
  <si>
    <t>HERMAN JAMES SR</t>
  </si>
  <si>
    <t>https://www.civicsource.com/IBS23023</t>
  </si>
  <si>
    <t>https://www.civicsource.com/IBS25287</t>
  </si>
  <si>
    <t>338 Deare St, #G-4, New Iberia, LA 70560</t>
  </si>
  <si>
    <t>https://www.civicsource.com/CNI10298</t>
  </si>
  <si>
    <t>2612 Hubertville Rd, LA</t>
  </si>
  <si>
    <t>UNDIVIDED INTEREST OF : 100% IN: 1- 120/116 X 153/201 (0.47 AC.) CANAL, HUBERTVILLE ROAD (#801), SLAUGHTER, SLAUGHTER. LOCATED IN SEC. 22 T 13 S, R 7 E. IMP (2612 HUBERETVILLE RD) ACQ: PHELMA &amp; MORRIS MICHAEL SLAUGHTER - 2018 (1640-732)</t>
  </si>
  <si>
    <t>KAREN SLAUGHTER EUGENE</t>
  </si>
  <si>
    <t>2604 Hubertville Rd, Jeanerette, LA 70544</t>
  </si>
  <si>
    <t>https://www.civicsource.com/IBS24802</t>
  </si>
  <si>
    <t>4415 Old La 25, LA</t>
  </si>
  <si>
    <t>UNDIVIDED INTEREST OF : 100% IN: 1- 100 X 200 (0.45 AC) HEBERT, GUILLARD, HEBERT, OLD LA 25 LOCATED IN SEC 19, T12S, R6E IMP (4415 OLD LA 25) ITEM 1 ACQ: CAROLYN GRONER - 2014 (1568-859) ACQ: GAIL ANN MATTHEWS BROUSSARD - 2014 (1568-862) ACQ: OLIVIER OAKS INVESTMENTS ACQ INT OF JASON M OLIVIER THRU TRANSFER -2016 (1603-567)</t>
  </si>
  <si>
    <t>https://www.civicsource.com/IBS24636</t>
  </si>
  <si>
    <t>604 Bank Ave, Jeanerette, LA</t>
  </si>
  <si>
    <t>UNDIVIDED INTEREST OF : 100% IN: 1- 50 X 100 ITEM 2 LOT 24, LOT 2, BANK AVE, PART LOTS 12 &amp; 14 BEING LOT 1, BLK 358 LANZA ADDITION IMP (604 BANK AVE) ITEM 1 1- 116/74/15/27 X 10/115/100/25 ITEM 3 HACKER ST &amp; LOT 23, LOTS 1 &amp; 12, BANK AVE, LOT 22 BEING LOT 24, BLK 358 LANZA ADDITION IMP (602 BANK AVE) ITEM 4 IMP (602 A BANK AVE- GARAGE APT) ITEM 5 ACQ: RAYLISE SHANTELL WASHINGTON - 2018 (1642-500)</t>
  </si>
  <si>
    <t>ADEL JAFAR MALAHMEH</t>
  </si>
  <si>
    <t>2205 Hwy 14, New Iberia, LA 70560</t>
  </si>
  <si>
    <t>https://www.civicsource.com/IBS23694</t>
  </si>
  <si>
    <t>217 Colgin St, New Iberia, LA</t>
  </si>
  <si>
    <t>https://www.civicsource.com/IBS23987</t>
  </si>
  <si>
    <t>624 W Pershing St, LA</t>
  </si>
  <si>
    <t>UNDIVIDED INTEREST OF : 100% IN: 1-50/50/100 X 133/82/50 JORDAN, PERSHING ST, ?, ? IMP (624 W PERSHING ST) ACQ: SUCC SYLVANUS GEORGE- 1032 (118-393) ACQ. INT OF MARY GEORGE BABINEAUX THRU SUCC - 1964 (438-31)</t>
  </si>
  <si>
    <t>EDELLE GEORGE</t>
  </si>
  <si>
    <t>624 W Pershing St, New Iberia, LA 70560</t>
  </si>
  <si>
    <t>https://www.civicsource.com/CNI10221</t>
  </si>
  <si>
    <t>404 N Railroad St, LA</t>
  </si>
  <si>
    <t>UNDIVIDED INTEREST OF : 100% IN: 1- 50 X 100 MIGUEZ, BROUSSARD, BROUSSARD, RAILROAD ST BEING THE W/2 OF LOT ACQ BY ANTIME BROUSSARD BY CASH SALE 3/18/1925 IMP (404 N RAILROAD ST) LAND COMM SITE DEVELOPMENT ACQ: DEANNA MAE GRANGER - 2019 (1662-871)</t>
  </si>
  <si>
    <t>SOUTHERN SPREAD, LLC</t>
  </si>
  <si>
    <t>14132 Harrington Rd, Erath, LA 70533</t>
  </si>
  <si>
    <t>https://www.civicsource.com/IBS24552</t>
  </si>
  <si>
    <t>1424 Church St, LA</t>
  </si>
  <si>
    <t>UNDIVIDED INTEREST OF : 100% IN: 1-200 X 70 D'ALBOR, CHURCH ST, BLANCHET, MILMO ST IMP (1424 CHURCH ST) ACQ: ELEANOR MILLER LANDRY ETAL - 2016 (1602-844)</t>
  </si>
  <si>
    <t>ROBERT THEODILE SR</t>
  </si>
  <si>
    <t>1433 Copp St, Jeanerette, LA 70544</t>
  </si>
  <si>
    <t>https://www.civicsource.com/IBS23956</t>
  </si>
  <si>
    <t>https://www.civicsource.com/IBS23924</t>
  </si>
  <si>
    <t>7803 Hwy 14, LA</t>
  </si>
  <si>
    <t>UNDIVIDED INTEREST OF : 100% IN: 1-100 X 330 HWY 14, BOUDREAUX, LOT 4, LOT 6. BEING LOT 5, OF DELCAMBRE PLAT. LOCATED IN SEC. 54, T 12 S,R 5 E. IMP (7803 HWY 14) ACQ: HELEN LOUISE MAGEE-1972-(568-759) ACQ: SUCC JIMMY SHORT- 2005 (1296-411)</t>
  </si>
  <si>
    <t>VERNON MARIE DELCAMBRE SHORT</t>
  </si>
  <si>
    <t>2314 Claude Leblanc Rd, New Iberia, LA 70560</t>
  </si>
  <si>
    <t>https://www.civicsource.com/IBS22836</t>
  </si>
  <si>
    <t>118 Daigre St, Loreauville, LA</t>
  </si>
  <si>
    <t>UNDIVIDED INTEREST OF : 100% IN: 1-87 X 145 DAIGRE ST, GRANGER, LASALETTE FATHERS, RANSONET IMP (118 DAIGRE ST) ACQ: KENNETH PAUL LABIT THRU DONATION-2001 (1224-799)</t>
  </si>
  <si>
    <t>WARREN PAUL LABIT</t>
  </si>
  <si>
    <t>Po Box 233, Loreauville, LA 70552</t>
  </si>
  <si>
    <t>https://www.civicsource.com/IBS23756</t>
  </si>
  <si>
    <t>618 Julia St, LA</t>
  </si>
  <si>
    <t>UNDIVIDED INTEREST OF : 100% IN: 1-60 X 200 ITEM 2 LACOUR, JULIA ST, LEVY, OUBRE IMP (618 JULIA ST) ITEM 1 IMP (618 1/2 JULIA ST) ITEM 3 ACQ: ACADIANA INVESTMENT PROPERTIES LLC - 2018 (1641-797)</t>
  </si>
  <si>
    <t>https://www.civicsource.com/IBS24634</t>
  </si>
  <si>
    <t>1612 Hopkins St, LA</t>
  </si>
  <si>
    <t>UNDIVIDED INTEREST OF : 100% IN: 1- 50 X 200 GAJAN, HOPKINS ST, LOT 16, LOT 18 BEING LOT 17 OF PLAT OF EMILE SUB IMP (1612 HOPKINS ST) IMP (1612 1/2 HOPKINS ST) ACQ: DELORES BONIN ROMERO - 2018 (1639-462)</t>
  </si>
  <si>
    <t>https://www.civicsource.com/IBS24171</t>
  </si>
  <si>
    <t>GULF COAST BANK</t>
  </si>
  <si>
    <t>https://www.civicsource.com/IBS22867</t>
  </si>
  <si>
    <t>1421 Jane St, LA</t>
  </si>
  <si>
    <t>UNDIVIDED INTEREST OF : 100% IN: 1- 87/85 X 127/140 ITEM 1 TRACT 2, LASSALLE, JANE STREET, TRACT 4 BEING TRACT 3 OF PLAT 1- 85 X 25/11 ITEM 3 TRACT 5, LASALLE, TRACT 3, FULTON ST BEING TRACT 4 OF PLAT IMP (1421 JANE ST) ITEM 2 LAND COMM SITE DEVELOPMENT ITEM 4 ACQ: DESCO ENTERPRISES LLC - 2017 (1621-271)</t>
  </si>
  <si>
    <t>SAMUEL J VIDALLIER</t>
  </si>
  <si>
    <t>810 S Hopkins St, New Iberia, LA 70560</t>
  </si>
  <si>
    <t>https://www.civicsource.com/CNI10500</t>
  </si>
  <si>
    <t>1120 St Jude Ave, LA</t>
  </si>
  <si>
    <t>UNDIVIDED INTEREST OF : 100% IN: 1-55/59 X 143 LOT 9, DAIGRE ST, RAILROAD AVE, LOT 7 BEING LOT 8, BLK F, ARMENTOR SUB IMP (1120 ST JUDE AVE) ACQ: RICKIE P ROMERO - 2012 (1502-278) ACQ: MICHAEL SHOCKLEY JR, FAITH MATURIN AND ASHLEY SUIRE ACQ INT OF MICHAEL SHOCKLEY SR THRU SUCC - 2012 (1518-495) &amp; THRU AMENDED JUDGMENT OF POSSESSION - 2013 (1538-222)</t>
  </si>
  <si>
    <t>ASHLEY SUIRE</t>
  </si>
  <si>
    <t>1120 St Jude Ave, New Iberia, LA 70560</t>
  </si>
  <si>
    <t>https://www.civicsource.com/CNI10705</t>
  </si>
  <si>
    <t>113 Walter St, LA</t>
  </si>
  <si>
    <t>UNDIVIDED INTEREST OF : 100% IN: 1-75 X 140 WALTERS ST, GRANGER, PRADOS, GRANGER 1-25 X 140 WALTERS ST, GRANGER, MESTAYER, GRANGER IMP (113 WALTER ST ) ACQ: GREGORY &amp; KYLE MESTAYER ACQ 1/2 INT OF ELDISE MESTAYER THRU DONATION - 2002 (1252-607) ACQ: SUCC ELMO MESTAYER- 2010 (1453-106) ACQ: GREGORY &amp; KYLE MESTAYER ACQ INT OF AARON MESTAYER- 2010 (1453-186) ACQ: KYLE THOMAS MESTAYER - 2014 (1568-92)</t>
  </si>
  <si>
    <t>GREGORY MESTAYER</t>
  </si>
  <si>
    <t>629 Alvar St,, Apt 2, New Orleans, LA 70117</t>
  </si>
  <si>
    <t>https://www.civicsource.com/IBS23579</t>
  </si>
  <si>
    <t>704 Ann St, LA</t>
  </si>
  <si>
    <t>https://www.civicsource.com/CNI9779</t>
  </si>
  <si>
    <t>https://www.civicsource.com/IBS23870</t>
  </si>
  <si>
    <t>https://www.civicsource.com/IBS24531</t>
  </si>
  <si>
    <t>4715 Avery Island Rd, New Iberia, LA</t>
  </si>
  <si>
    <t>UNDIVIDED INTEREST OF : 100% IN: 1- 100/80 X 291/216 TRACT 1, BOUDREAUX, RADER, AVERY ISLAND RD LOCATED IN SEC 82, T12S, R6E IMP (4715 AVERY ISLAND RD) SER# PIN03421AAL TAG #NTA1265363 ACQ: CERASTES LLC THRU QUITCLAIM DEED - 2017 (1631-826)</t>
  </si>
  <si>
    <t>ATLANTICA LLC</t>
  </si>
  <si>
    <t>4715 Avery Island Rd, New Iberia, LA 70560</t>
  </si>
  <si>
    <t>https://www.civicsource.com/IBS25301</t>
  </si>
  <si>
    <t>https://www.civicsource.com/CNI10001</t>
  </si>
  <si>
    <t>907 Walton St, Jeanerette, LA</t>
  </si>
  <si>
    <t>https://www.civicsource.com/IBS24675</t>
  </si>
  <si>
    <t>104 W Lawrence St, LA</t>
  </si>
  <si>
    <t>UNDIVIDED INTEREST OF : 100% IN: 1-75 X 150 MIXON, LAWRENCE ST, VILLERMIN, MURPHY. IMP (104 W. LAWRENCE ST.) ACQ: EDWARD A.DAUTERIVE JR. ETAL-1976(633-750)</t>
  </si>
  <si>
    <t>KEITH E LAPEROUSE</t>
  </si>
  <si>
    <t>104 W Lawrence, New Iberia, LA 70563</t>
  </si>
  <si>
    <t>https://www.civicsource.com/CNI10385</t>
  </si>
  <si>
    <t>126 Hacker St, LA</t>
  </si>
  <si>
    <t>UNDIVIDED INTEREST OF : 100% IN: 1-75 X 150 NORWOOD, PELLERIN, HACKER ST, LEVY IMP (OFFICE) LAND COMM SITE DEVELOPMENT ITEM 3 ACQ: OZARE SEGURA ETAL - 1952 ACQ: KEITH E LAPEROUSE, MYRA L BROUSSARD, LAMBERT M LAPEROUSE, STEPHEN T LAPEROUSE, ADRIENNE L BAROUSSE &amp; JULIE L CORDELL ACQ INT OF VALERY E LAPEROUSE JR THRU SUCC - 2002 (1244-843) ACQ: KEITH EDMOND LAPEROUSE ACQ INT OF VERNET ROMERO LAPEROUSE THRU DONATION - 2012 (1512-336) ACQ: KEITH EDMOND LAPEROUSE ACQ INT OF STEPHEN THOMAS LAPEROUSE, MYRA LAPEROUSE BROUSSARD, LAMBERT MARK LAPEROUSE, JULIE LAPEROUSE CORDELL AND ADRIENNE LAPEROUSE BARROUSE THRU DONATION - 2012 (1512-329)</t>
  </si>
  <si>
    <t>KEITH EDMOND LAPEROUSE</t>
  </si>
  <si>
    <t>104 West Lawrence Street, New Iberia, LA 70563</t>
  </si>
  <si>
    <t>https://www.civicsource.com/CNI10386</t>
  </si>
  <si>
    <t>5715 Debuse Rd, LA</t>
  </si>
  <si>
    <t>UNDIVIDED INTEREST OF : 100% IN: 0.49 AC... ITEM 1 BEING LOT 29-A OF TUFF-TUSSLE SUB 0.57 AC... ITEM 2 BEING LOT 29-B OF TUFF-TUSSLE SUB ACQ: BERNARD &amp; MARIE LAHASKEY TRUST - 1999 (1176-444) IMP (5715 DEBUSE RD-LOT 2) IMP (5715 DEBUSE RD-LOT 1) ACQ: HARRIER ENTERPRISES LLC ACQ INT OF MARTIN BILLEAUD THRU TAX SALE FOR NON PAYMENT OF 2017 PARISH TAXES - 2018 (1647-290)</t>
  </si>
  <si>
    <t>https://www.civicsource.com/IBS23195</t>
  </si>
  <si>
    <t>803 Daspit Rd, LA</t>
  </si>
  <si>
    <t>UNDIVIDED INTEREST OF : 100% IN: 1-91/98 X 144/168 LOT 15, DASPIT ROAD, LOT 3, LOT 1 BEING LOT 2, BLK 2, NORTHLAND ESTATES SUB. IMP (803 DASPIT RD) ACQ: ALEXANDER J. ROMERO JR - 1995 (1087-126)</t>
  </si>
  <si>
    <t>FERNANDO ANTONIO HERNANDEZ</t>
  </si>
  <si>
    <t>1 Corelogic Dr, Westlake, TX 76262</t>
  </si>
  <si>
    <t>https://www.civicsource.com/IBS25183</t>
  </si>
  <si>
    <t>9113 Harold Landry Rd, New Iberia, LA</t>
  </si>
  <si>
    <t>UNDIVIDED INTEREST OF : 100% IN: 6.67 AC... LANDRY, AUBRY, ROAD, LANDRY. LOCATED IN SEC. 28 T 11 S,R 7 E. IMP (9113 HAROLD LANDRY RD) ACQ: SUCC. HANLEY &amp; BERNADETTE DOUCET1991 (1012-271) &amp; INT. OF PETER DOUCET 1991 (1012-430)</t>
  </si>
  <si>
    <t>https://www.civicsource.com/IBS25001</t>
  </si>
  <si>
    <t>442 S Main St, Loreauville, LA</t>
  </si>
  <si>
    <t>UNDIVIDED INTEREST OF : 100% IN: 1-66 X 300 (.47 AC) JACQUET, DOMINGUE, HWY 86, DOMINGUE. IMP (442 S MAIN ST) ACQ: GERALDINE PORTER, ETAL- 2004 (1276-110)</t>
  </si>
  <si>
    <t>BROC J SEGURA</t>
  </si>
  <si>
    <t>Po Box 9741, New Iberia, LA 70562</t>
  </si>
  <si>
    <t>https://www.civicsource.com/IBS25079</t>
  </si>
  <si>
    <t>3614 Admiral Doyle Dr, Jeanerette, LA</t>
  </si>
  <si>
    <t>UNDIVIDED INTEREST OF : 100% IN: 1-125 X 250 40-ARP. ROAD, GUIDRY, LANDRY &amp; GUIDRY, GUIDRY. 1-125 X 25 MORELAND, HEBERT, LANDRY, GUIDRY LOCATED IN SEC 36 T 12 S R 7 E. IMP (3614 E ADMIRAL DOYLE DR) ACQ: SUCC. BEATRICE H. MORELAND-1995 (1090-687) ACQ: SUCC. ERNEST W. MORELAND, SR.-1995 (1090-690) ACQ: ERNEST W. MORELAND, JR. ETAL THRU DONATION-1995 (1090-693) ACQ: ERNEST W. MORELAND, JR. ETAL THRU PARITION-1995 (1091-946)</t>
  </si>
  <si>
    <t>ELIZABETH W MORELAND COMEAUX</t>
  </si>
  <si>
    <t>3614 E Admiral Doyle Dr, New Iberia, LA 70560</t>
  </si>
  <si>
    <t>https://www.civicsource.com/IBS23051</t>
  </si>
  <si>
    <t>3006 Jane St, Loreauville, LA</t>
  </si>
  <si>
    <t>UNDIVIDED INTEREST OF : 100% IN: 0.28 AC... ITEM 2 WYCHE, HWY 31, GONZALES, WYCHE. BEING TRACT A OF PLAT AND LOCATED IN SEC. 15, T 11 S,R 6 E. IMP (3006 JANE ST) ITEM 1 LAND COMM SITE DEVELOPMENT ITEM 3 ACQ: PATRICIA TALLEY BROUSSARD - 1998 (1163-617)</t>
  </si>
  <si>
    <t>FLOPPIN FRESH INC</t>
  </si>
  <si>
    <t>15207 La Hwy 694, Abbeville, LA 70510</t>
  </si>
  <si>
    <t>https://www.civicsource.com/IBS24441</t>
  </si>
  <si>
    <t>108 Main St, LA</t>
  </si>
  <si>
    <t>UNDIVIDED INTEREST OF : 100% IN: 1- 30 X 145 MAIN ST, GUILLOTTE, TAUL, DEVALCOURT IMP (108 E MAIN ST) LAND COMM SITE DEVELOPMENT ACQ: VERMILION HOLDINGS LLC - 2013 (1545-807)</t>
  </si>
  <si>
    <t>STEPHEN SPEER</t>
  </si>
  <si>
    <t>7504 Hillcrest Dr, New Iberia, LA 70560</t>
  </si>
  <si>
    <t>https://www.civicsource.com/CNI10774</t>
  </si>
  <si>
    <t>608 San Jacinto Cir, Loreauville, LA</t>
  </si>
  <si>
    <t>608 San Jacinto Cr, New Iberia, LA 70563</t>
  </si>
  <si>
    <t>https://www.civicsource.com/IBS24765</t>
  </si>
  <si>
    <t>3211 Patout Rd, LA</t>
  </si>
  <si>
    <t>UNDIVIDED INTEREST OF : 100% IN: 1-195 X 384 GENEST, PATOUT, CHURCH PROPERTY, HWY 673 BEING IN SEC. 32 T 13 S,R 7 E IMP (3211 PATOUT RD) ACQ: JULIUS A. THIBODEAUX - 1971 (559-108) ACQ: LIONEL J DEROUEN III ACQ INT OF LIONEL J &amp; LAMONA R DEROUEN THRU DONATION - 2019 (1660-286)</t>
  </si>
  <si>
    <t>LIONEL JOSEPH DEROUEN III</t>
  </si>
  <si>
    <t>3211 Patout Rd, Jeanerette, LA 70544</t>
  </si>
  <si>
    <t>https://www.civicsource.com/IBS23904</t>
  </si>
  <si>
    <t>https://www.civicsource.com/IBS24784</t>
  </si>
  <si>
    <t>104 E Pershing St, Loreauville, LA</t>
  </si>
  <si>
    <t>UNDIVIDED INTEREST OF : 100% IN: 1- 60 X 72 PERSHING ST, THIBODEAUX, THIBODEAUX, THIBODEAUX IMP (104 E PERSHING ST) ACQ: SUCC ALVIN THIBODEAUX - 2009 (1434-697) ACQ: 50% INT JANET T THIBODEAUX THRU DONATION - 2016 (1617-38) ACQ: DANE STEPHEN THIBODEAUX ACQ INT OF ERIC JOHN THIBODEAUX THRU SUCC - 2018 (1648-156) ACQ: SHELLEY T MIGUES, PHILLIP ANTHONY THIBODEAUX AND MARY JANET T DUHON ACQ INT OF DANE STEPHEN THIBODEAUX - 2018 (1648-164) ACQ: INT OF SHELLEY T MIGUES AND PHILLIP ANTHONY THIBODEAUX THRU DONATION - 2018 (1648-739)</t>
  </si>
  <si>
    <t>https://www.civicsource.com/IBS24426</t>
  </si>
  <si>
    <t>340 Weeks St, LA</t>
  </si>
  <si>
    <t>UNDIVIDED INTEREST OF : 100% IN: 1-45 X 50 ITEM 2 PINKNEY, WEEKS ST., PAYS, PERSHING ST. 1-48 X 90 ITEM 3 SCHWING, CHAIGNIAUX, CHAIGNIAUX, PERSHING ST IMP (340 WEEKS ST) ITEM 1 1-63 X 96 ITEM 4 LASALLE, WEEKS ST., MAUMUS, PAYS. 1-45 X 50 ITEM 5 PINKNEY, WEEKS ST., ELIAS, ELIAS. LAND COMM SITE DEVELOPMENT ITEM 6 ACQ: GUILLOTTE PROPERTIES LLC - 2011 (1495-82) ACQ: RANDOLPH M MOITY JR ACQ INT OF EVA PREJEAN MOITY THRU COMMUNITY PARTITION - 2013 (1531-597)</t>
  </si>
  <si>
    <t>RANDOLPH MICHAEL MOITY JR</t>
  </si>
  <si>
    <t>6105 E Old Spanish Trail, Jeanerette, LA 70544</t>
  </si>
  <si>
    <t>https://www.civicsource.com/CNI10160</t>
  </si>
  <si>
    <t>4718 Lafitte St, LA</t>
  </si>
  <si>
    <t>UNDIVIDED INTEREST OF : 100% IN: 1- 80 X 150 LAFITTE ST, CANAL, LOT 5, LOT 3 BEING LOT 4, BLK A, BAYOU JACK MARINA LOCATED IN SEC 26, T13S, R6E IMP (4718 LAFITTE ST) ACQ: ROOD'S REAL ESTATE LLC - 2017 (1631-222)</t>
  </si>
  <si>
    <t>Po Box 80802, Lafayette, LA 70508</t>
  </si>
  <si>
    <t>https://www.civicsource.com/IBS23632</t>
  </si>
  <si>
    <t>316 Silver St, Jeanerette, LA</t>
  </si>
  <si>
    <t>UNDIVIDED INTEREST OF : 100% IN: 1- 55 X 110 LOT 65, LOT 67, SILVER ST., LOT 17 BEING LOT 66, BLK B, SILVER ACRES ADD. IMP (316 SILVER ST) ACQ: STEWART BELL HOMES-1974 (594-705) ACQ: HECTOR M PULLES JR ACQ INT OF HECTOR M PULLES SR &amp; MAGDA P PULLES THRU DONATION - 2017 (1623-768)</t>
  </si>
  <si>
    <t>HECTOR MANUEL PULLES JR</t>
  </si>
  <si>
    <t>3230 Theodore Rd, Erath, LA 70533</t>
  </si>
  <si>
    <t>https://www.civicsource.com/IBS25359</t>
  </si>
  <si>
    <t>800 E Dale St, LA</t>
  </si>
  <si>
    <t>UNDIVIDED INTEREST OF : 100% IN: 1- 120 X 100 DALE ST. LOT 3, LOTS 1 &amp; 2, ANN ST . BEING LOTS 1 &amp; 2, BLK 10, CARTIMIGLIA ADD IMP (800 E DALE ST) ITEM 1 ACQ: TAURIAC, INC THRU JOHN W TAURIAC - 1995 (1100-330) LAND COMM SITE DEVELOPMENT ITEM 3</t>
  </si>
  <si>
    <t>DAVE'S QUALITY MEATS INC</t>
  </si>
  <si>
    <t>804 E Dale St, New Iberia, LA 70560</t>
  </si>
  <si>
    <t>https://www.civicsource.com/IBS22910</t>
  </si>
  <si>
    <t>3606 #1 Avery Island Rd, LA</t>
  </si>
  <si>
    <t>UNDIVIDED INTEREST OF : 100% IN: 1-250/192 X 276/122 LOT 2, LOT 4, R.R., DEROUEN. BEING PART LOT 3 OF PLAT OF PART. LOCATED IN SEC 28, T12S, R6E IMP (3606 AVERY ISLAND RD LOT 1) ACQ: SUCC. CALICE (CALISTE) BOURGEOIS THRU PART.-1976 (624-232) ACQ: PATRICK BOURGEOIS JR &amp; PATRICK BOURGEOIS SR ACQ INT OF DARREL J BOURGEOIS THRU SUCC - 2017 (1634-793)</t>
  </si>
  <si>
    <t>PATRICK BOURGEOIS JR</t>
  </si>
  <si>
    <t>3606 Avery Island Rd #1, New Iberia, LA 70560</t>
  </si>
  <si>
    <t>https://www.civicsource.com/IBS23857</t>
  </si>
  <si>
    <t>2410 Labit Rd, Delcambre, LA</t>
  </si>
  <si>
    <t>UNDIVIDED INTEREST OF : 100% IN: 10.81-AC.. TRACT 2, DORE, LABIT RD, TOUCHET BEING TRACT 3 ON PLAT OF SURVEY LOCATED IN SEC 26, T11S, R5E IMP (2410 LABIT RD) ACQ: DONALD GAUTHIER - 2002 (1235-657) ACQ: STEPHEN P ARMENTOR ACQ INT OF SHANNON M ARMENTOR THRU COMMUNITY PARTITION - 2018 (1650-592)</t>
  </si>
  <si>
    <t>STEPHEN PHILLIP ARMENTOR</t>
  </si>
  <si>
    <t>2410 Labit Rd, New Iberia, LA 70560</t>
  </si>
  <si>
    <t>https://www.civicsource.com/IBS24380</t>
  </si>
  <si>
    <t>https://www.civicsource.com/IBS23913</t>
  </si>
  <si>
    <t>512 Lombard St, LA</t>
  </si>
  <si>
    <t>UNDIVIDED INTEREST OF : 100% IN: 1-50 X 159 NEREAUX, DEROUEN, LOT 5, LOMBARD ST BEING LOT 12, BLK 331 OF PLAT IMP (512 LOMBARD ST) ACQ: MILTON ALEXANDER - 1990 (984-462) ACQ: COUNTER LETTER - 1990 (984-460)</t>
  </si>
  <si>
    <t>PERLY ALEXANDER</t>
  </si>
  <si>
    <t>800 F St, Antioch, CA 94509</t>
  </si>
  <si>
    <t>https://www.civicsource.com/CNI9795</t>
  </si>
  <si>
    <t>502 Harriet St, Loreauville, LA</t>
  </si>
  <si>
    <t>UNDIVIDED INTEREST OF : 100% IN: 1-71 X 86 HARRIET ST., LOT 17, LOTS 11 &amp; 12, HENSHAW ALLEY BEING LOT 18, BLK. 359, LANZA ADD. IMP (502 HARRIET ST) ACQ: THRU ACT OF EXCHANGE OF MARY BRIANT SCHEXNAYDER - 1998 - (1158-426) ACQ: THRU ACT OF EXCHANGE OF CARL J SCHEXNAYDER - 1998 - (1158-432) SOLD TO CITY OF NI FOR 1998 CITY TAXES IN THE NAME OF CARL SCHEXNAYDER-1999 (1179-456) IMP (HAIR SALON - 502 HARRIET)</t>
  </si>
  <si>
    <t>C J S PROPERTIES LLC</t>
  </si>
  <si>
    <t>102 Aron Dr, Lafayette, LA 70503-5046</t>
  </si>
  <si>
    <t>https://www.civicsource.com/IBS23424</t>
  </si>
  <si>
    <t>https://www.civicsource.com/IBS25271</t>
  </si>
  <si>
    <t>611 Jane St, Jeanerette, LA</t>
  </si>
  <si>
    <t>https://www.civicsource.com/IBS23057</t>
  </si>
  <si>
    <t>500 Copper Rd, New Iberia, LA</t>
  </si>
  <si>
    <t>https://www.civicsource.com/IBS23351</t>
  </si>
  <si>
    <t>https://www.civicsource.com/IBS24153</t>
  </si>
  <si>
    <t>2506 Phyllis Dr, Jeanerette, LA</t>
  </si>
  <si>
    <t>UNDIVIDED INTEREST OF : 100% IN: 1-60 X 120 LOT 42, PHYLLIS DRIVE, LOT 37, LOT 35. BEING LOT 36 OF SHANGRI-LA SUB., PHASE II. LOCATED IN SEC 16, T 12 S, R 6 E. IMP (2506 PHYLLIS DR) ACQ: JASPER LEROY SMITH THRU SHERIFFS SALE - 1999 (1186-427)</t>
  </si>
  <si>
    <t>ANTHONY L GUILLORY SR</t>
  </si>
  <si>
    <t>2411 Terre Ruelle, New Iberia, LA 70563</t>
  </si>
  <si>
    <t>https://www.civicsource.com/IBS23359</t>
  </si>
  <si>
    <t>11208 Pecan Ln, Jeanerette, LA</t>
  </si>
  <si>
    <t>UNDIVIDED INTEREST OF : 100% IN: 1-105 X 111 LOT 37, LOT 35, ROAD, BOURGEOIS. BEING LOT 36, BOURGEOIS SUB. LOCATED IN SEC. 50, T 13 S,R 8 E. IMP (11208 PECAN LANE) ACQ: FIRST NATIONAL BANK - 1969 (537-470) ACQ: INT OF ELOUISE H.LONG THRU COMMUNITY SETTLEMENT- 1977 (670-137) ACQ: MARILYN FAY GRANTED USUFRUCT - 1998 (1165-15) ACQ: JOYCE ANN JONES, HENRY LONG JR, MARY E ROBERTS, GLENDA MOORE, BARBARA K LONG, FREDDIE MAE LONG, SHERRI EDWARDS, SHAWNA EDWARDS, PATRICK EDWARDS AND LYLE EDWARDS ACQ INT OF HENRY LONG SR THRU SUCC - 2007 (1389-859)</t>
  </si>
  <si>
    <t>HENRY LONG JR</t>
  </si>
  <si>
    <t>14520 Mondovebleu Ln, Florissant, MO 63034</t>
  </si>
  <si>
    <t>https://www.civicsource.com/IBS23371</t>
  </si>
  <si>
    <t>809 Broussard St, Delcambre, LA</t>
  </si>
  <si>
    <t>UNDIVIDED INTEREST OF : 100% IN: 1-102 X 119 BROUSSARD ST, LOT 9, LOT 3, LOT 1 BEING LOT 2, BLK 8, PESSON SUB ADD IMP (809 BROUSSARD ST) ACQ: LARRY JOHN VIATOR - 2010 (1452-357)</t>
  </si>
  <si>
    <t>KERMIT PATRICK DIXON</t>
  </si>
  <si>
    <t>809 Broussard St, New Iberia, LA 70560</t>
  </si>
  <si>
    <t>https://www.civicsource.com/IBS24054</t>
  </si>
  <si>
    <t>5413 Agnes Dalbor Rd, LA</t>
  </si>
  <si>
    <t>UNDIVIDED INTEREST OF : 100% IN: 1- 195 X 195 PATOUT, D'ALBOR, D'ALBOR, AGNES DALBOR ROAD LOCATED IN SEC 39, T13S, R7E IMP (5413 AGNES DALBOR RD) ACQ: CR CAPITAL GROUP LLC - 2014 (1553-759)</t>
  </si>
  <si>
    <t>JASON M OLIVIER</t>
  </si>
  <si>
    <t>309 Lassarre Dr, Lafayette, LA 70503</t>
  </si>
  <si>
    <t>https://www.civicsource.com/IBS23289</t>
  </si>
  <si>
    <t>207 Acadian St, LA</t>
  </si>
  <si>
    <t>UNDIVIDED INTEREST OF : 100% IN: 1-70 X 150 SEGURA ETALS, ACADIAN ST, LOT 125, LOT 123 BEING LOT 124 OF PLAT OF ADDITION TO DARBY SUB IMP (207 ACADIAN ST) ACQ: PHILLIP H RAMPEY, III - 1990 (996-254)</t>
  </si>
  <si>
    <t>TOMMY J HULIN</t>
  </si>
  <si>
    <t>916 Dartez Dr, New Iberia, LA 70563-1222</t>
  </si>
  <si>
    <t>https://www.civicsource.com/IBS24886</t>
  </si>
  <si>
    <t>213 Robitaille Rd, LA</t>
  </si>
  <si>
    <t>UNDIVIDED INTEREST OF : 100% IN: 1-115 X 264/236 LOT 10, ST. MARCELLUS ROMAN CATHOLIC CHURCH LOTS 11, 12 &amp; 13 &amp; BROUSSARD, ROBITAILLE RD BEING THE NE-15' LOT 7 &amp; ALL LOTS 8 &amp; 9, BLK 2, ST. MARCEL SUB. LOCATED IN SEC 14, T13S, R6E IMP (213 ROBITAILLE RD) ACQ: DAVID H WEBSTER - 2004 (1291-883) ACQ: QUITCLAIM- 2008 (1394-486)</t>
  </si>
  <si>
    <t>MALCOLM P BLAKESLEY II</t>
  </si>
  <si>
    <t>213 Robitaille Rd, New Iberia, LA 70560</t>
  </si>
  <si>
    <t>https://www.civicsource.com/IBS23263</t>
  </si>
  <si>
    <t>408 Landry Dr, New Iberia, LA</t>
  </si>
  <si>
    <t>https://www.civicsource.com/IBS23341</t>
  </si>
  <si>
    <t>https://www.civicsource.com/IBS24513</t>
  </si>
  <si>
    <t>1101 Sidney Blanchard Rd, New Iberia, LA</t>
  </si>
  <si>
    <t>UNDIVIDED INTEREST OF : 100% IN: 1-102 X 240 GALLIER &amp; BONIN, BLANCHARD RD, CALLIER &amp; BONIN, CROCHET LOCATED IN SEC 22 &amp; 23, T11S, R7E IMP (1101 SIDNEY BLANCHARD RD) ACQ: FEDERAL NATIONAL MORTGAGE ASSOCIATION - 2019 (1663-750)</t>
  </si>
  <si>
    <t>LSF11 MASTER PARTICIPATION TRUST</t>
  </si>
  <si>
    <t>106 Bridge St, Loreauville, LA 70552</t>
  </si>
  <si>
    <t>https://www.civicsource.com/IBS25321</t>
  </si>
  <si>
    <t>418 Springfield St, Delcambre, LA</t>
  </si>
  <si>
    <t>https://www.civicsource.com/IBS23099</t>
  </si>
  <si>
    <t>617 N Lewis St, New Iberia, LA</t>
  </si>
  <si>
    <t>https://www.civicsource.com/IBS24977</t>
  </si>
  <si>
    <t>1809 Wanda St, LA</t>
  </si>
  <si>
    <t>UNDIVIDED INTEREST OF : 100% IN: 1-22/92 X 141/120 BRENDA DR, LOT 39 &amp; 38, WANDA ST, LOT 41. BEING LOT 40, SHANGRI-LA SUB PHASE II. IMP (1809 WANDA ST) ACQ: JUANITA FAY BROUSSARD -1997 (1147-256) ACQ: RECOGNITION OF TITLE - 1997 (1147-934)</t>
  </si>
  <si>
    <t>CAJ INCORPORATED</t>
  </si>
  <si>
    <t>2411 Terre Ruelle, P O Box 12257, New Iberia, LA 70562</t>
  </si>
  <si>
    <t>https://www.civicsource.com/IBS23893</t>
  </si>
  <si>
    <t>6912 Boyance Rd, LA</t>
  </si>
  <si>
    <t>UNDIVIDED INTEREST OF : 100% IN: 2.32 AC.... (232 X 443) BOYANCE RD, THIBODEAUX, TOUCHET, THIBODEAUX BEING PARCEL A-B OF PLAT OF SURVEY LOCATED IN SEC 44, T11S, R5E ACQ: LOU ANN ROMERO THIBODEAUX THRU DONATION - 2009 (1441-794) (1.26 AC) MOBILE HOME (6912 BOYANCE RD) TAG#NTA 801061 ITEM 2 ACQ: LOU ANN ROMERO THIBODEAUX THRU DONATION - 2017 (1635-193) (1.084 AC) ACQ: JARED W CORNE ACQ 1/2 INT OF SANDRA ANN THIBODEAUX CORNE THRU DONATION - 2017 (1636-171) MOBILE HOME (6912 BOYANCE RD) TAG#NTA1703381 SER# PHAL04022A-B ITEM 3</t>
  </si>
  <si>
    <t>SANDRA ANN THIBODEAUX CORNE</t>
  </si>
  <si>
    <t>6912 Boyance Rd, New Iberia, LA 70560</t>
  </si>
  <si>
    <t>https://www.civicsource.com/IBS24586</t>
  </si>
  <si>
    <t>J P MORGAN MORTGAGE ACQUISITION CORP</t>
  </si>
  <si>
    <t>https://www.civicsource.com/IBS22866</t>
  </si>
  <si>
    <t>608 Evergreen Dr, Delcambre, LA</t>
  </si>
  <si>
    <t>UNDIVIDED INTEREST OF : 100% IN: 1- 100 X 174 LOT 2, LOT 4, POIRRIER, EVERGREEN DR BEING LOT 3, BLK 6, EVERGREEN ACRES SUB IMP (608 EVERGREEN DR) ACQ: DAVID ROMERO, JR - 1998 (1150-892)</t>
  </si>
  <si>
    <t>608 Evergreen Dr, New Iberia, LA 70563</t>
  </si>
  <si>
    <t>https://www.civicsource.com/IBS24044</t>
  </si>
  <si>
    <t>1716 Short Weeks St, LA</t>
  </si>
  <si>
    <t>UNDIVIDED INTEREST OF : 100% IN: 1-85 X 150 PART LOT 12, PART LOT 13, WEEKS ST, LOTS 25 &amp; 26 BEING S-35' LOT 12 &amp; N-50' LOT 13, BLK B DUROC SUB IMP (1716 SHORT WEEKS ST) ACQ: JOSEPH GEORGE THRU COMMUNITY PARTITION - 1991 (1009-378)</t>
  </si>
  <si>
    <t>BEULAH JEAN LOUIS GEORGE</t>
  </si>
  <si>
    <t>1716 Short Weeks St, New Iberia, LA 70560</t>
  </si>
  <si>
    <t>https://www.civicsource.com/IBS22849</t>
  </si>
  <si>
    <t>https://www.civicsource.com/IBS25276</t>
  </si>
  <si>
    <t>W Hwy 90, Delcambre, LA</t>
  </si>
  <si>
    <t>UNDIVIDED INTEREST OF : 100% IN: 0.69 AC.. ITEM 1 LOT 2C, LOT 2H, U.S. HWY 90 SERVICE ROAD, LOT 2D. BEING LOT 2E OF PLAT. LOCATED IN SEC 84, T12S, R6E 0.65 AC.. ITEM 2 LOT 2B &amp; 2C, LOT 2H, LOT2E, PARISH ROAD NO. 515. BEING LOT 2D OF PLAT. LOCATED IN SEC 84, T12S, R6E ACQ: TOUCHDOWN SERVICES LLC - 2014 (1559-62) ACQ: ACT OF CORRECTION - 2015 (1590-921)</t>
  </si>
  <si>
    <t>https://www.civicsource.com/IBS23405</t>
  </si>
  <si>
    <t>804 E Dale St, LA</t>
  </si>
  <si>
    <t>UNDIVIDED INTEREST OF : 100% IN: 1-60 X 100 DALE STREET, LOT 4, LOT 2, LOT 3 BEING LOT 3 OF BLOCK 10, CARTIMIGLIA ADD IMP (DAVE'S QUALITY MEATS - 804 E DALE ST) LAND COMM SITE DEVELOPMENT ACQ: DAVID ROMERO JR THRU DONATION - 2013 (1523-348)</t>
  </si>
  <si>
    <t>https://www.civicsource.com/IBS24510</t>
  </si>
  <si>
    <t>https://www.civicsource.com/IBS25239</t>
  </si>
  <si>
    <t>1428 Iberia St, Delcambre, LA</t>
  </si>
  <si>
    <t>UNDIVIDED INTEREST OF : 100% IN: 1-83 X 150 GUERRERO &amp; L. BIENVENU, IBERIA ST, ROMERO, TRACT B BEING THE S-73' LOT 33, AND THE N-10' LOT 32, BLK A DECUIR SUB IMP (1428 IBERIA ST) ACQ: YVONNE WYNNE JOHNSON THRU ACT OF TRANSFER - 2015 (1589-166)</t>
  </si>
  <si>
    <t>https://www.civicsource.com/IBS23389</t>
  </si>
  <si>
    <t>4518 Northside Rd, LA</t>
  </si>
  <si>
    <t>UNDIVIDED INTEREST OF : 100% IN: 0.98 ACRES... ITEM 1 NORTHSIDE RD, BAYOU TECHE, LOT 5, PRIOUX. BEING LOT 6 OF PLAT. LOCATED IN SEC. 77, T 12 S,R 7 E. ACQ: SUCC. HARVEY PRIOUX-1968 (520-19) ACQ: INT. OF PHILOMENE C. PRIOUX THRU DONATION &amp; PARTITION-1994 (1084-677) 1.01 ACRES... ITEM 3 NORTHSIDE RD, BAYOU TECHE, LOT 4, LOT 6. BEING LOT 5 OF PLAT. LOCATED IN SEC. 77, T 12 S,R 7 E. ACQ: KENNETH J. PRIOUX-1995 (1105-433) IMP (4518 NORTHSIDE RD) ITEM 2 1.05 ACRES... ITEM 4 NORTHSIDE RD, BAYOU TECHE, LOT 3, LOT 5 BEING LOT 4 OF PLAT. LOCATED IN SEC. 77, T 12 S,R 7 E ACQ: SANDRA ANN P. LEDET-1996 (1129-378)</t>
  </si>
  <si>
    <t>RODNEY PAUL PRIOUX</t>
  </si>
  <si>
    <t>4518 Northside Rd, New Iberia, LA 70563</t>
  </si>
  <si>
    <t>https://www.civicsource.com/IBS24883</t>
  </si>
  <si>
    <t>1225 Obie St, New Iberia, LA</t>
  </si>
  <si>
    <t>UNDIVIDED INTEREST OF : 100% IN: 1-75 X 120 OBIE ST, EDWARDS (LOT 32 &amp; PT LOT 34), BELL (LOT 31), PT LOT 35 BEING LOT 33 &amp; E/2 LOT 35, BLK 1, WEST END SUB 2 IMP (1225 OBIE ST) ACQ: EASLEY PHILLIPS THRU DONATION - 2004 (1292-34)</t>
  </si>
  <si>
    <t>EASLEY J PHILLIPS</t>
  </si>
  <si>
    <t>1225 Obie St, New Iberia, LA 70560</t>
  </si>
  <si>
    <t>https://www.civicsource.com/IBS23349</t>
  </si>
  <si>
    <t>https://www.civicsource.com/IBS23514</t>
  </si>
  <si>
    <t>104 W Lawrence St, Loreauville, LA</t>
  </si>
  <si>
    <t>https://www.civicsource.com/IBS23747</t>
  </si>
  <si>
    <t>103 Estate Dr, LA</t>
  </si>
  <si>
    <t>UNDIVIDED INTEREST OF : 100% IN: 1- 145/172 X 175/188 LOT 1, LOT 3, CROCHET &amp; BOREL, ESTATE DR BEING LOT 2, BLK 2, COUNTRY ESTATE SUB LOCATED IN SECS 22 &amp; 62 T12S, R7E IMP (103 ESTATE DR) ACQ: HORACE ANTHONY &amp; JOANN AUCOIN BREAUX THRU SUCC - 2013 (1547-553)</t>
  </si>
  <si>
    <t>HAIDYN MICHELLE MARCEAUX</t>
  </si>
  <si>
    <t>103 Estate Dr, New Iberia, LA 70563</t>
  </si>
  <si>
    <t>https://www.civicsource.com/IBS23811</t>
  </si>
  <si>
    <t>1918A #3 David Duboin Rd, LA</t>
  </si>
  <si>
    <t>UNDIVIDED INTEREST OF : 100% IN: 1-115 X 237 ITEM 2 DAVID DUBOIN ROAD, PREVOST, ROMERO, PREVOST LOCATED IN SEC. 34 T 12 S,R 6 E IMP (1918A DAVID DUBOIN RD #3) ITEM 1 ACQ: FRANK PREVOST JR - 1970 (555-711) ACQ: ACT OF CORRECTION - 1973 (593-645)</t>
  </si>
  <si>
    <t>WENCESLAUS FRANK PROVOST</t>
  </si>
  <si>
    <t>1918A David Duboin Rd, #3, New Iberia, LA 70560</t>
  </si>
  <si>
    <t>https://www.civicsource.com/IBS22860</t>
  </si>
  <si>
    <t>https://www.civicsource.com/IBS24943</t>
  </si>
  <si>
    <t>1100 Sis St, Loreauville, LA</t>
  </si>
  <si>
    <t>https://www.civicsource.com/IBS23106</t>
  </si>
  <si>
    <t>400 Iberia St, Jeanerette, LA</t>
  </si>
  <si>
    <t>UNDIVIDED INTEREST OF : 100% IN: 1-101/73 X 94/103 ITEM 2 WEST PERSHING ST, BROOKS, IBERIA ST, ROBICHEAUX BEING PART LOTS 12 &amp; 14, BLK 287, CITY MAP IMP (400 IBERIA ST) ITEM 1 LAND COMM SITE DEVELOPMENT ITEM 3 ACQ: GORDIE R WHITE - 2014 (1556-79) ACQ: CYCLONE ASSETS W/ UNION BANK ACQ INT OF KAWW LLC FOR NON PAYMENT OF 2018 CITY TAXES - 2019 (1669-359)</t>
  </si>
  <si>
    <t>CYCLONE ASSETS WITH UNION BANK</t>
  </si>
  <si>
    <t>https://www.civicsource.com/IBS23377</t>
  </si>
  <si>
    <t>3900 Melancon Rd, LA</t>
  </si>
  <si>
    <t>UNDIVIDED INTEREST OF : 100% IN: 1-139/138 X 91 (0.290 AC) ITEM 1 30' PRIVATE RD, MATURIN, MELANCON RD, MATURIN LOCATED IN SEC 27 T 11 S R 5 E. IMP (3900 MELANCON RD - S &amp; R FEED &amp; SUPPLIES) ITEM 2 LAND COMM SITE DEVELOPMENT ITEM 3 ACQ: RONALD WAYNE MATURIN - 2007 (1353-189)</t>
  </si>
  <si>
    <t>RICKY JOE CAPRENTER</t>
  </si>
  <si>
    <t>3603 Melancon Rd, Broussard, LA 70518</t>
  </si>
  <si>
    <t>https://www.civicsource.com/IBS25132</t>
  </si>
  <si>
    <t>311 Albert St, LA</t>
  </si>
  <si>
    <t>UNDIVIDED INTEREST OF : 100% IN: 1-50 X 145 ALBERT ST, LOT 15, LOT 5, LOT 7 BEING LOT 6, BLK B, LEMAIRE SUB IMP (311 ALBERT ST) ACQ: CHARLES V &amp; LOUIS MANISCALCO - 1972 (570-237) ACQ: SUCC DONALD NORRIS- 2004 (1294-552)</t>
  </si>
  <si>
    <t>ELGINE DELAHOUSSAYE NORRIS</t>
  </si>
  <si>
    <t>398 N Wilson Wells Rd, Poughkeepsie, AR 72569</t>
  </si>
  <si>
    <t>https://www.civicsource.com/CNI10600</t>
  </si>
  <si>
    <t>206 S Main St, LA</t>
  </si>
  <si>
    <t>UNDIVIDED INTEREST OF : 100% IN: 1- 83/75 X 100/135 ITEM 2 GONSOULIN, LOT 2, MAIN ST, LOT 5 BEING LOT 1, GRANGER SUB IMP (206 S MAIN ST) 1- 50 X 75 ITEM 3 GONSOULIN, GRANGER, DALY, GRANGER BEING IN REAR OF LOT 1, GRANGER SUB ACQ: NEAL A BENOIT THRU SHERIFF'S SALE - 2018 (1640-686)</t>
  </si>
  <si>
    <t>ERNE PLESSALA</t>
  </si>
  <si>
    <t>206 S Main St, Loreauville, LA 70552</t>
  </si>
  <si>
    <t>https://www.civicsource.com/IBS24922</t>
  </si>
  <si>
    <t>Pellerin Rd, LA</t>
  </si>
  <si>
    <t>UNDIVIDED INTEREST OF : 100% IN: 9.00 AC... JENKINS, POIRSON, ROAD, POIRSON LOCATED IN SECS 17 &amp; 18, T13S, R8E ACQ: JOHN MITCHEL ESTATE THRU IBERIA PARISH GOVERNMENT - 2018 (1651-33)</t>
  </si>
  <si>
    <t>CHRISTIAN BUTTS</t>
  </si>
  <si>
    <t>704 Kent St, Jeanerette, LA 70544</t>
  </si>
  <si>
    <t>https://www.civicsource.com/IBS23634</t>
  </si>
  <si>
    <t>5202 #13 Old Jeanerette Rd, LA</t>
  </si>
  <si>
    <t>UNDIVIDED INTEREST OF : 100% IN: 1.00 AC.. BAEZ, BAYOU TECHE, DUHE, BOUTTE LOCATED IN SEC 25, T12S, R7E IMP (5202 OLD JEANERETTE RD LOT 13) ACQ: PLAT - 2012 (1497-221) ACQ: PACIFIC UNION FINANCIAL LLC - 2018 (1657-494) ACQ: COCO ASSETS ACQ INT OF RUSTY OWENS THRU TAX SALE FOR NON PAYMENT OF 2018 PARISH TAXES - 2019 (1668-767)</t>
  </si>
  <si>
    <t>SECRETARY OF VETERANS AFFAIRS</t>
  </si>
  <si>
    <t>3401 West End Ave, Ste 760W, Nashville, TN 37203</t>
  </si>
  <si>
    <t>https://www.civicsource.com/IBS22993</t>
  </si>
  <si>
    <t>https://www.civicsource.com/IBS23484</t>
  </si>
  <si>
    <t>117 Oak Hill Rd, LA</t>
  </si>
  <si>
    <t>UNDIVIDED INTEREST OF : 100% IN: 1-90 X 138 LOT 4, S/2 LOT 5, LALLANDE, OAK HILL RD. BEING N/MOST 90' LOT 5 WOODLAND HEIGHTS SUB LOCATED IN SECS 11 &amp; 12, T 12 S, R 7 E. ACQ: CHARLES C. COMEAUX &amp; LEROY DEROUEN - 1985 (866-674) IMP (117 OAK HILL RD) 1-45 X 138 N/4-B, LOT 5A, LALLANDE, OAKHILL RD. BEING THE S/2 OF LOT 4-B OF WOODLAND HEIGHTS SUB. LOCATED IN SECS 11 &amp; 12, T 12 S,R 7 E. ACQ: JOSEPH J. DECOURT - 1990 (989-672) ACQ: STACY STEIN MONTE ACQ INT OF KEITH SAUL MONTE THRU COMMUNITY PROPERTY PARTITION - 2004 (1277-101)</t>
  </si>
  <si>
    <t>https://www.civicsource.com/IBS24256</t>
  </si>
  <si>
    <t>128 N Richelieu Cir, LA</t>
  </si>
  <si>
    <t>UNDIVIDED INTEREST OF : 100% IN: 1-148/157 X 175/252 LEBLANC, RICHELIEU CIR &amp; NATIVITY OF OUR LORD ROMAN CATHOLIC CHURCH, LOT 5, NATIVITY OF OUR LORD ROMAN CATHOLIC CHURCH BEING PART LOTS 1, 2 &amp; ALL LOTS 3 &amp; 4, BLK A, RICHELIEU CIRCLE SUB &amp; ADDITIONAL STRIP ADJACENT TO LOT 1, BLK A LOCATED IN SEC 10, T12S, R6E IMP (128 N RICHELIEU CIR) ACQ: BANK OF AMERICA - 2019 (1664-205)</t>
  </si>
  <si>
    <t>SECRETARY OF HOUSING &amp; URBAN DEVELOPMENT OF WASHINGTON DC</t>
  </si>
  <si>
    <t>2401 Nw 23Rd St, Ste 1D, Oklahoma City, OK 73107</t>
  </si>
  <si>
    <t>https://www.civicsource.com/CNI10815</t>
  </si>
  <si>
    <t>1525 Martin Luther King, LA</t>
  </si>
  <si>
    <t>UNDIVIDED INTEREST OF : 100% IN: 1-50 X 167 ITEM 2 DUROCHER AVE, CHANNETTE, JONES, SMITH 1- 50 X 167 ITEM 1 DUROCHER AVE, CONNER, SMITH, BOUTTE ACQ: ROY HENSLEY JR - 2002 (1232-975) IMP (1525 MARTIN LUTHER KING DR) LAND COMM SITE DEVELOPMENT ITEM 4</t>
  </si>
  <si>
    <t>https://www.civicsource.com/IBS23214</t>
  </si>
  <si>
    <t>4400A Ambassador Caffery #332, Lafayette, LA 70508</t>
  </si>
  <si>
    <t>https://www.civicsource.com/IBS25136</t>
  </si>
  <si>
    <t>4110 Daspit Rd, New Iberia, LA</t>
  </si>
  <si>
    <t>UNDIVIDED INTEREST OF : 100% IN: 2.16 ACRES - SIMON, JOY CO. INC., TRAPPEY ETAL, HWY. 86. LOCATED IN SEC. 30, T 11 S, R 7 E. IMP. (4110 DASPIT RD) ACQ: ARLAN G PITRE - 2000 (1196-726)</t>
  </si>
  <si>
    <t>KENDALL H CHARPENTIER</t>
  </si>
  <si>
    <t>4110 Daspit Rd, New Iberia, LA 70563</t>
  </si>
  <si>
    <t>https://www.civicsource.com/IBS23986</t>
  </si>
  <si>
    <t>2104 Badger Tr, LA</t>
  </si>
  <si>
    <t>UNDIVIDED INTEREST OF : 100% IN: 1.416 AC.. BEING TRACT 2 OF PLAT OF 2012 SURVEY LOCATED IN SEC 43, T11S, R5E ACQ: ALLEN L PRADOS SR - 2012 (1515-796) IMP (MODULAR HOME - 2104 BADGER TR) SER #ALFSJ38514974A/B ACQ: IMMOBILIZATION - 2015 (1594-294)</t>
  </si>
  <si>
    <t>PRESTON BERNARD LEDET JR</t>
  </si>
  <si>
    <t>2104 Badger Trail, New Iberia, LA 70560</t>
  </si>
  <si>
    <t>https://www.civicsource.com/IBS25256</t>
  </si>
  <si>
    <t>1600 Armenco Rd, LA</t>
  </si>
  <si>
    <t>UNDIVIDED INTEREST OF : 100% IN: 1-203/205 X 181/189 LOT 1, ARMENCO ROAD, LOT 4, RYNELLA ROAD BEING LOT 2 OF ARMENCO SUBD LOCATED IN SEC 29, T12S, R6E IMP (1600 ARMENCO RD) ITEM 1 ACQ: BANK OF NEW YORK - 2013 (1528-76) IMP (M/H - 1600A ARMENCO RD) ITEM 3 ACQ: OLIVIER OAK INVESTMENTS ACQ INT OF JASON M OLIVIER THRU TRANSFER -2016 (1603-567)</t>
  </si>
  <si>
    <t>https://www.civicsource.com/IBS24935</t>
  </si>
  <si>
    <t>314 Robertson St, LA</t>
  </si>
  <si>
    <t>UNDIVIDED INTEREST OF : 100% IN: 1- 200 X 200 ITEM 1 FIELD ST, INDEST, JEFFERSON ST, LOT 2 BEING LOTS 5, 6, 7 &amp; 8, BLK 318, CITY MAP AND ANY PORTION OF LOT 30 BLK 318, CITY MAP THAT MAY BELONG TO L B HURT IMP (BLDG # 3) ITEM 3 8 - LOTS ITEM 2 HART, ROBERTSON ST, JEFFERSON ST, LOTS 15,16,17,18 &amp; 22. BEING LOTS 23, 24, 25, 26, 27, 28, 29 &amp; 30, BLK 318, CITY MAP IMP (BLDG #4) ITEM 4 IMP (BLDG # 5) ITEM 5 IMP (BLDG # 6) ITEM 6 LAND COMM SITE DEVELOPMENT ITEM 7 ACQ: THE ARC OF ACADIANA INC - 2019 (1660-273)</t>
  </si>
  <si>
    <t>CREATIVE KUSTOMS HOMES LLC</t>
  </si>
  <si>
    <t>107 Parker St, New Iberia, LA 70563</t>
  </si>
  <si>
    <t>https://www.civicsource.com/CNI10231</t>
  </si>
  <si>
    <t>Loreauville Rd, Loreauville, LA</t>
  </si>
  <si>
    <t>UNDIVIDED INTEREST OF : 100% IN: 0.289 AC.... JACQUE, BOUDREAUX, SEGURA, SEGURA 8.174 AC.... GONSOULIN, DARNALL, JACQUE, ETAL, BAYOU TECHE BEING TRACT 1 OF PLAT ACQ: GERALDINE D PORTER, ETAL- 2004 (1276-110)</t>
  </si>
  <si>
    <t>https://www.civicsource.com/IBS23123</t>
  </si>
  <si>
    <t>https://www.civicsource.com/IBS25281</t>
  </si>
  <si>
    <t>61 Vine St, New Iberia, LA</t>
  </si>
  <si>
    <t>https://www.civicsource.com/IBS25331</t>
  </si>
  <si>
    <t>https://www.civicsource.com/IBS24477</t>
  </si>
  <si>
    <t>2718 Dago Ln, LA</t>
  </si>
  <si>
    <t>UNDIVIDED INTEREST OF : 100% IN: 3.620 AC... ITEM 1 LOT E, LOT G, ROAD, FREMIN &amp; CANAL BEING LOT F-2 OF PLAT OF PARTITION LOCATED IN SEC. 26 T 11S R 5 E ACQ: VERNA FREMIN MORVANT - 2006 (1332-777) IMP ( 2718 DAGO LANE) ITEM 2 M/H SITE DEVELOPMENT (7 SLOTS @ 1000 PER) ITEM 3 ACQ: IMMOBILIZATION - 2014 (1551-102)</t>
  </si>
  <si>
    <t>https://www.civicsource.com/IBS23326</t>
  </si>
  <si>
    <t>1008 1/2 Belmont Rd, LA</t>
  </si>
  <si>
    <t>UNDIVIDED INTEREST OF : 100% IN: 1- 359/246 X 109/198 (0.669 AC) ITEM 2 WYCHE, HWY 31 &amp; HWY 86, HWY 86, WYCHE &amp; HWY 31 BEING TRACT B (.486 AC) &amp; C (.183 AC) OF PLAT LOCATED IN SEC 15, T 11 S,R 6 E APARTMENT (1008 1/2 BELMONT RD) ITEM 1 IMP (CLUB - 1008 BELMONT RD) ITEM 3 LAND COMM SITE DEVELOPMENT ITEM 4 ACQ: LOIS CONKLIN ANDRE &amp; LORI ANDRE LEBLANC - 2007 (1366-315)</t>
  </si>
  <si>
    <t>RONALD EDWARD HEDRICK</t>
  </si>
  <si>
    <t>https://www.civicsource.com/IBS23561</t>
  </si>
  <si>
    <t>110 E Main St, Delcambre, LA</t>
  </si>
  <si>
    <t>UNDIVIDED INTEREST OF : 100% IN: 1- 21 X 145 SCHARFF, SLIMAN, W MAIN ST IMP. (110 E MAIN ST) ACQ: SCOTT &amp; EMILY BREAUX PROPERTIES ACQ INT OF ANTHONY ACKAL, ETAL - 2005 (1319-528)</t>
  </si>
  <si>
    <t>SCOTT BREAUX &amp; EMILY PROPERTIES</t>
  </si>
  <si>
    <t>4402 Faith Dr, New Iberia, LA 70560-9654</t>
  </si>
  <si>
    <t>https://www.civicsource.com/IBS23391</t>
  </si>
  <si>
    <t>4818 Pirates Aly, LA</t>
  </si>
  <si>
    <t>UNDIVIDED INTEREST OF : 100% IN: 1- 80 X 116 ITEM 2 PIRATE'S ALLEY, BOAT SLIP, LOT 5, LOT 3. BEING LOT 4, BLK D, BAYOU JACK MARINA, PART 4. IMP (4818 PIRATES ALY) ITEM 1 1- 80 X 116 ITEM 3 PIRATE'S ALLEY, BOAT SLIP, LOT 6, LOT 4. BEING LOT 5, BLK D, BAYOU JACK MARINA, PART 4. ACQ: NICOLE BURTON REED - 2014 (1570-280)</t>
  </si>
  <si>
    <t>https://www.civicsource.com/IBS24911</t>
  </si>
  <si>
    <t>714 Landview Dr, New Iberia, LA</t>
  </si>
  <si>
    <t>UNDIVIDED INTEREST OF : 100% IN: 1-205 X 225 LANDVIEW SUB PART I, LOT 8, LANDVIEW SUB, LANDVIEW DR. BEING LOT 9, LANDVIEW SUB. PART II. LOCATED IN SEC 77, T 12 S,R 7 E. IMP (714 LANDVIEW DR) ACQ: MICHAEL SANDERS- 2007 (1357-519)</t>
  </si>
  <si>
    <t>LAMARCUS BETHEA</t>
  </si>
  <si>
    <t>714 Landview Dr, New Iberia, LA 70563</t>
  </si>
  <si>
    <t>https://www.civicsource.com/IBS23650</t>
  </si>
  <si>
    <t>1503 Crochet Rd, LA</t>
  </si>
  <si>
    <t>UNDIVIDED INTEREST OF : 99% IN: 4.157 AC... (202/201 X 873/861) LOT 30, LOT 28, DRAINAGE DITCH &amp; ROCHON EST, CROCHET RD &amp; AUCOIN BEING LOT 29, SUGAR PATCH SUB LOCATED IN SEC 25, T12S, R7E ACQ: PATCH INVESTMENTS LLC - 2014 (1554-553) IMP (METAL STORAGE) ACQ: MEMT PROPERTIES LLC ACQ 1% INT OF DAPHNE ALVAREZ THRU TAX SALE FOR NON PAYMENT OF 2016 PARISH TAXES - 2017 (1628-632)</t>
  </si>
  <si>
    <t>DAPHNE MOORE ALVAREZ</t>
  </si>
  <si>
    <t>609 Texas St, New Iberia, LA 70563</t>
  </si>
  <si>
    <t>https://www.civicsource.com/IBS22936</t>
  </si>
  <si>
    <t>4806 Creighton Dr, LA</t>
  </si>
  <si>
    <t>UNDIVIDED INTEREST OF : 100% IN: 1- 95 X 150 PAUL STREET, LOT 41, LOT 39, LOT 37 BEING LOT 38 CREIGHTON HEIGHTS SUB 1- 95 X 150 PAUL ST, LOT 40, CREIGHTON DR, LOT 38 BEING LOT 39, CREIGHTON HEIGHTS SUB LOCATED IN SEC 82, T12S, R6E IMP (4806 CREIGHTON DR) ACQ: FEDERAL NATIONAL MORTGAGE ASSOCIATION - 2018 (1637-658)</t>
  </si>
  <si>
    <t>LATRINA JOHNSON</t>
  </si>
  <si>
    <t>4806 Creighton Dr, New Iberia, LA 70560</t>
  </si>
  <si>
    <t>https://www.civicsource.com/IBS23589</t>
  </si>
  <si>
    <t>6416 Lindy Ln, New Iberia, LA</t>
  </si>
  <si>
    <t>UNDIVIDED INTEREST OF : 100% IN: 1-331 X 635 (4.81 AC.) BOUDREAUX &amp; PART LOT 1, LEE ST, LOT 4, LOT 2. BEING LOT 3 OF PARCPERDUE EST. LOCATED IN SEC 38 T 12 S R 5 E. IMP (6416 LINDY LANE) ACQ: CHARLES E TAYLOR THRU IBERIA PARISH SHERIFF - 1997 (1147-169)</t>
  </si>
  <si>
    <t>JACOB J HOUSTON SR</t>
  </si>
  <si>
    <t>6416 Lindy Lane, New Iberia, LA 70560</t>
  </si>
  <si>
    <t>https://www.civicsource.com/IBS23644</t>
  </si>
  <si>
    <t>219 Terry Michael St, LA</t>
  </si>
  <si>
    <t>UNDIVIDED INTEREST OF : 100% IN: 1-95/91 X 128/127 TERRY MICHAEL ST, LOT 54, LOT 47, CREIGHTON DR BEING N/PART LOT 46, CREIGHTON HEIGHTS SUB LOCATED IN SEC 82, T 12 S,R 6 E IMP (219 TERRY MICHAEL ST) ACQ: DANNY P SUNBERG THRU SHERIFF'S SALE - 2019 (1667-382)</t>
  </si>
  <si>
    <t>JP MORGAN CHASE BANK NATIONAL ASSOCIATION</t>
  </si>
  <si>
    <t>3415 Vision Dr, Columbus, OH 43219-3792</t>
  </si>
  <si>
    <t>https://www.civicsource.com/IBS23162</t>
  </si>
  <si>
    <t>9217 Lake Peigneur Rd, LA</t>
  </si>
  <si>
    <t>UNDIVIDED INTEREST OF : 100% IN: 0.923 ACRES BEING TRACT 5C-2B OF PLAT LOCATED IN SEC. 41, T 12 S, R5 E. ACQ: BRENDA BOURQUE- 2002 (1236-541) IMP (9217 LAKE PEIGNEUR RD) ACQ: INT OF BLAZE BODIN- 2009 (1430-538)</t>
  </si>
  <si>
    <t>NICOLE B BODIN</t>
  </si>
  <si>
    <t>9217 Lake Peigneur Rd, New Iberia, LA 70560</t>
  </si>
  <si>
    <t>https://www.civicsource.com/IBS23238</t>
  </si>
  <si>
    <t>1507 Montagne St, LA</t>
  </si>
  <si>
    <t>UNDIVIDED INTEREST OF : 10% IN: 1- 80 X 120 ITEM 1 BEING LOT 3, BLK 9, SOUTHPORT SUB. #2. 1- 80 X 120 ITEM 2 BEING LOT 4, BLK 9, SOUTHPORT SUB. #2. 1- 80 X 120 ITEM 3 BEING LOT 5, BLK 9, SOUTHPORT SUB. #2. 1- 80 X 120 ITEM 4 BEING LOT 6, BLK 9, SOUTHPORT SUB. #2. 1- 80 X 120 ITEM 5 BEING LOT 7, BLK 9, SOUTHPORT SUB. #2. 1- 80 X 120 ITEM 6 BEING LOT 8, BLK 9, SOUTHPORT SUB. #2. 1- 80 X 120 ITEM 7 BEING LOT 9, BLK 9, SOUTHPORT SUB. #2. 1- 80 X 120 ITEM 8 BEING LOT 11, BLK 9, SOUTHPORT SUB. #2. (APT BLDG-1505 MONTAGNE ST LOT 3, BLK 9-SOUTHPORT APT) ITEM 9 (APT BLDG- 1507 MONTAGNE ST LOT 4, BLK 9-SOUTHPORT APT)ITEM 10 (APT BLDG- 1509 MONTAGNE ST LOT 5, BLK 9-SOUTHPORT APT)ITEM 11 (APT BLDG- 1511 MONTAGNE ST LOT 6, BLK 9-SOUTHPORT APT)ITEM 12 (APT BLDG-1513 MONTAGNE ST LOT 7, BLK 9-SOUTHPORT APT)ITEM 13 (APT BLDG- 1515 MONTAGNE ST LOT 8, BLK 9-SOUTHPORT APT)ITEM 14 (APT BLDG-1517 MONTAGNE ST LOT 9, BLK 9-SOUTHPORT APT)ITEM 15 (APT BLDG-1521 MONTAGNE ST LOT 11,BLK 9-SOUTHPORT APT)ITEM 16 ACQ: AMERICAN BANK &amp; TRUST CO. - 1989 (974-363) LAND COMM SITE DEVELOPMENT ITEM 17 ACQ: COCO ASSETS ACQ 90% INT OF ARTHUR SCHEXNAYDER THRU TAX SALE FOR NON PAYMENT OF 2018 PARISH TAXES - 2019 (1668-796) ACQ: CONTINENTAL RESOURCES ACQ 48% INT OF ARTHUR SCHEXNAYDER THRU TAX SALE FOR NON PAYMENT OR 2018 CITY TAXES - 2019 (1669-350)</t>
  </si>
  <si>
    <t>ARTHUR L SCHEXNAYDER JR</t>
  </si>
  <si>
    <t>Po Box 11501, New Iberia, LA 70562-1501</t>
  </si>
  <si>
    <t>https://www.civicsource.com/IBS25214</t>
  </si>
  <si>
    <t>126 Hacker St, New Iberia, LA</t>
  </si>
  <si>
    <t>https://www.civicsource.com/IBS24656</t>
  </si>
  <si>
    <t>201 San Jose St, LA</t>
  </si>
  <si>
    <t>UNDIVIDED INTEREST OF : 100% IN: 1-100 X 124 LOT 11, SANTA CLARA ST., SAN JOSE ST., LOT 9. BEING LOT 10, BLK 5, ACADIAN ACRES ADD. IMP (201 SAN JOSE ST) ACQ: APPOLINE E *GRIFFIS* ROCHESTER THRU ANTHONY L GUILLORY - 1998 (1162-77)</t>
  </si>
  <si>
    <t>https://www.civicsource.com/IBS24898</t>
  </si>
  <si>
    <t>https://www.civicsource.com/IBS23912</t>
  </si>
  <si>
    <t>206 Interlaken Dr, LA</t>
  </si>
  <si>
    <t>UNDIVIDED INTEREST OF : 100% IN: 1- 145 X 388/374 INTERLAKEN DRIVE, BAYOU TECHE, LOT 3, LOT 1 BEING LOT 2, INTERLAKEN SUB LOCATED IN SEC 44, T11S, R7E IMP (206 INTERLAKEN DR) ACQ: ALBERT GAUDE III - 2004 (1279-832) ACQ: ACT OF CORRECTION - 2013 (1529-777)</t>
  </si>
  <si>
    <t>RENEE MONTEGUT LOUVIERE</t>
  </si>
  <si>
    <t>206 Interlaken Dr, New Iberia, LA 70563</t>
  </si>
  <si>
    <t>https://www.civicsource.com/IBS24810</t>
  </si>
  <si>
    <t>137 W Main St, New Iberia, LA</t>
  </si>
  <si>
    <t>https://www.civicsource.com/IBS23646</t>
  </si>
  <si>
    <t>https://www.civicsource.com/IBS22897</t>
  </si>
  <si>
    <t>https://www.civicsource.com/IBS22956</t>
  </si>
  <si>
    <t>DON'S RADIATOR SERVICE, INC</t>
  </si>
  <si>
    <t>https://www.civicsource.com/IBS23478</t>
  </si>
  <si>
    <t>3100 College Rd, New Iberia, LA</t>
  </si>
  <si>
    <t>UNDIVIDED INTEREST OF : 100% IN: 1- 100 X 157/158 ITEM 2 LOT 10, LOT 12, COLLEGE ROAD, PATOUT &amp; SMITH BEING LOT 11, COLLEGE ROAD SUB 1- 100 X 157 ITEM 3 BEING LOT 10, COLLEGE ROAD SUB LOCATED IN SEC 15, T13S, R7E IMP (3100 COLLEGE RD) ITEM 1 ACQ: US BANK TRUST NA AS TRUSTEE FOR LSF8 MASTER PARTICIPATION TRUST - 2015 (1588-776)</t>
  </si>
  <si>
    <t>GERARD JOSEPH CHAISSON</t>
  </si>
  <si>
    <t>310 Chloe Heights, San Antonio, TX 78253</t>
  </si>
  <si>
    <t>https://www.civicsource.com/IBS24652</t>
  </si>
  <si>
    <t>3603 Melancon Rd, Jeanerette, LA</t>
  </si>
  <si>
    <t>UNDIVIDED INTEREST OF : 100% IN: 1-237/251 X 250 (1.40 AC.) FREMIN, FREMIN, FREMIN, MELANCON ROAD. BEING IN SEC. 26 T 11 S,R 5 E. IMP (3603 MELANCON RD.) ACQ: LARRY JAMES ROMERO - 1994 (1084-764) ACQ: R &amp; D CARPENTER HOLDINGS LLC ACQ INT OF RICKY J CARPENTER &amp; DIANA D CARPENTER THRU ACT OF EXCHANGE - 2010 (1456-872)</t>
  </si>
  <si>
    <t>R &amp; D CARPENTER HOLDINGS LLC</t>
  </si>
  <si>
    <t>https://www.civicsource.com/IBS24033</t>
  </si>
  <si>
    <t>3902 Melancon Rd, LA</t>
  </si>
  <si>
    <t>UNDIVIDED INTEREST OF : 100% IN: 1-74 X 91 ITEM 1 MATURIN, MATURIN, MELANCON RD, MATURIN LOCATED IN SEC. 27, T 11 S,R5E IMP (3902 MELANCON RD- CAJUN COUNTRY KITCHEN) ITEM 2 LAND COMM SITE DEVELOPMENT ITEM 3 ACQ: RONALD WAYNE MATURIN -2006 (1349-430)</t>
  </si>
  <si>
    <t>https://www.civicsource.com/IBS23455</t>
  </si>
  <si>
    <t>4207 Loreauville Rd, New Iberia, LA</t>
  </si>
  <si>
    <t>UNDIVIDED INTEREST OF : 100% IN: 1-110 X 488/479 BAYOU TECHE, HWY 86, HEBERT, DORSEY BEING PARCEL 1A OF PLAT LOCATED IN SEC 7, T12S, R7E IMP (4207 LOREAUVILLE RD) 1-27 X 264 (TRIANGULAR) HWY 86, DARCEY, DARCEY BEING PARCEL 1B OF PLAT. LOCATED IN SEC 7 ,T12S, R7E ACQ: HEATH D ANGELLE - 2019 (1659-619)</t>
  </si>
  <si>
    <t>DRUCKER, GRACEY SOFIA TORRES TRUST FUND</t>
  </si>
  <si>
    <t>1161 Camp Bon Temps Rd, Breaux Bridge, LA 70517</t>
  </si>
  <si>
    <t>https://www.civicsource.com/IBS24647</t>
  </si>
  <si>
    <t>3216 Romero Rd, LA</t>
  </si>
  <si>
    <t>UNDIVIDED INTEREST OF : 100% IN: 0.85 AC.. VIATOR, VIATOR ETAL, ROMERO RD, GEOFFROY BEING TRACT B OF PLAT OF SURVEY DATED 4/22/15 LOCATED IN SEC 22, T11S, R5E IMP (KENNEL - SAM'S KAMP K-9) ITEM 3 LAND COMM SITE DEVELOPMENT ITEM 4 ACQ: DAVID JOHN ESSER - 2017 (1633-313)</t>
  </si>
  <si>
    <t>SAM'S KAMP K-9 LLC</t>
  </si>
  <si>
    <t>3216 Romero Rd, New Iberia, LA 70560</t>
  </si>
  <si>
    <t>https://www.civicsource.com/IBS24602</t>
  </si>
  <si>
    <t>2709 Curtis Dr, LA</t>
  </si>
  <si>
    <t>UNDIVIDED INTEREST OF : 100% IN: 1- 83/100 X 147/97 CURTIS DR, LOT 9, LOT 8, PART LOT 11 BEING ALL LOT 10 &amp; PART LOT 11, BLK C, CURTIS SUB IMP (2709 CURTIS DR) ACQ: CHARLENE THIBODEAUX COLLEY ETAL - 2011 (1474-320)</t>
  </si>
  <si>
    <t>AHMED K OBAID</t>
  </si>
  <si>
    <t>401 Martin Luther King, Jeanerette, LA 70544</t>
  </si>
  <si>
    <t>https://www.civicsource.com/IBS22975</t>
  </si>
  <si>
    <t>2904 Buckskin Ln, LA</t>
  </si>
  <si>
    <t>UNDIVIDED INTEREST OF : 100% IN: 4.03 AC.. LOT F, ROMERO, ROAD, CANAL BEING LOT G, OF PLAT OF PART LOCATED IN SEC 26, T11S, R5E ACQ: ROWENA F COMEAUX - 2006 (1332-774) IMP (M/H - 2904 BUCKSKIN LN) ITEM 2 ID #NTA1421834 SER #DSE2AL10497A/B IMP (M/H - 2908 BUCKSKIN LN) ITEM 3 ID #NTA631525-26 SER #LCA1196580529254A/B ACQ: ACT OF IMMOBILIZATION - 2008 (1400-738) ACQ: ACT OF IMMOBILIZATION - 2008 (1404-196) IMP (M/H - 2905 BUCKSKIN LN) ITEM 4 ID #TEN589117 IMP (M/H - 2900 BUCKSKIN LN) ITEM 5 ID #NTA1414354 IMP (M/H- 2816 BUCKSKIN LN) ITEM 6 ID #NTA814791 IMP (M/H 2901 BUCKSKIN LN) ITEM 7 ID #NTA211138 M/H SITE DEVELOPMENT (11 SLOTS @ 1000/PER SLOT) ITEM 8 ACQ: IMMOBILIZATION - 2014 (1551-102)</t>
  </si>
  <si>
    <t>https://www.civicsource.com/IBS24782</t>
  </si>
  <si>
    <t>1611 Crochet Rd, LA</t>
  </si>
  <si>
    <t>UNDIVIDED INTEREST OF : 100% IN: 3.926 AC... LOT 26, LOT 24, ROCHON ESTATE, CASE &amp; GUILLOT BEING LOT 25 OF PLAT OF SURVEY LOCATED IN SEC 25, T12S, R7E ACQ: JEFFREY WAYNE HUGHES - 2017 (1619-509) IMP (1611 CROCHET RD)</t>
  </si>
  <si>
    <t>MICHAEL J DUBOIS</t>
  </si>
  <si>
    <t>1611 Crochet Rd, New Iberia, LA 70563</t>
  </si>
  <si>
    <t>https://www.civicsource.com/IBS24589</t>
  </si>
  <si>
    <t>1740 Center St, Jeanerette, LA</t>
  </si>
  <si>
    <t>https://www.civicsource.com/IBS24022</t>
  </si>
  <si>
    <t>6314 Norris Branch Rd, LA</t>
  </si>
  <si>
    <t>UNDIVIDED INTEREST OF : 99% IN: 3.00 AC... DORE, F &amp; A R.R. TRACK, NORRIS ESTATE, JACKSON BEING TRACT A OF PLAT LOCATED IN SEC 36, T12S, R5E IMP (6314 NORRIS BRANCH RD) ACQ: IVA JEAN LUNDY THRU DONATION - 2011 (1489-686) MOBILE HOME (6314 NORRIS BRANCH RD #5) ITEM 3 TAG# TEN 705810 ACQ: PLAT - 2014 (1550-581) ACQ: CONTINENTAL RESOURCES ACQ 1% INT OF CASEY LUNDY THRU TAX SALE FOR NON PAYMENT OF 2018 PARISH TAXES - 2019 (1668-731)</t>
  </si>
  <si>
    <t>CASEY LUNDY</t>
  </si>
  <si>
    <t>6314 Norris Branch Rd, New Iberia, LA 70560</t>
  </si>
  <si>
    <t>https://www.civicsource.com/IBS25176</t>
  </si>
  <si>
    <t>2716 Southwest Dr, LA</t>
  </si>
  <si>
    <t>UNDIVIDED INTEREST OF : 100% IN: 1- 125 X 324/323 ITEM 2 LOT 15, LOT 7, 60' R/W FOR RD, BROUSSARD BEING THE S/W MOST PORTION OF PROPERTY AS PER PLAT LOCATED SEC 16, T12S, R6E IMP (2716 SOUTHWEST DR - CANAL DIESEL SERVICE) ITEM 1 IMP (BREAK ROOM) ITEM 4 ACQ: KENNETH OLIVIER &amp; RICHARD HARRISON THRU EXCHANGE - 2002 (1242-463) ACQ: ACT OF ASSIGNMENT - 2003 (1255-967) LAND COMM SITE DEVELOPMENT ITEM 3 ACQ: NAME CHANGE - 2012 (1519-661)</t>
  </si>
  <si>
    <t>K O RENTALS LLC</t>
  </si>
  <si>
    <t>2716 Southwest Dr, New Iberia, LA 70560</t>
  </si>
  <si>
    <t>https://www.civicsource.com/IBS24154</t>
  </si>
  <si>
    <t>1922 E Main St, LA</t>
  </si>
  <si>
    <t>UNDIVIDED INTEREST OF : 100% IN: 1-110 TO ST PETER ST: BOURQUE, TOWN, E MAIN ST, ST PETER ST IMP (1922 E MAIN ST - RESIDENCE) ITEM 1 ACQ: ROMONA JORDAN - 2007 (1382-844) IMP (1922 ST PETER ST EAST) ITEM 3 IMP (1922 ST PETER ST EAST) ITEM 4 IMP (1922 ST PETER ST EAST) ITEM 5 LAND COMM SITE DEVELOPMENT ITEM 6 ACQ: DAN &amp; LAURIE L O QUINN THRU CONTRIBUTION - 2016 (1604-558)</t>
  </si>
  <si>
    <t>O QUINN RENTALS LLC</t>
  </si>
  <si>
    <t>1918 E Main St, New Iberia, LA 70560</t>
  </si>
  <si>
    <t>https://www.civicsource.com/IBS24278</t>
  </si>
  <si>
    <t>5109 Old Spanish Tr, LA</t>
  </si>
  <si>
    <t>UNDIVIDED INTEREST OF : 100% IN: 1-147 X 650 (2.19 AC) BAYOU TECHE, HWY 90, SMITH, AUCOIN LOCATED IN SEC 41, T 12 S, R 7 E IMP (5109 E OLD SPANISH TRAIL - PAINT SHED) ACQ: INT OF L &amp; H LAND AND MINERALS LLC THRU QUITCLAIM DEED - 2019 (1663-558)</t>
  </si>
  <si>
    <t>BOT LLC</t>
  </si>
  <si>
    <t>1105 Levee Rd, Morgan City, LA 70380</t>
  </si>
  <si>
    <t>https://www.civicsource.com/IBS23308</t>
  </si>
  <si>
    <t>3019 Admiral Doyle Dr, Delcambre, LA</t>
  </si>
  <si>
    <t>UNDIVIDED INTEREST OF : 100% IN: 5.00 AC... ITEM 2 ADMIRAL DOYLE DRIVE, DOERLE ETAL, BROUSSARD, IBERIA PARISH POLICE JURY LOCATED IN SEC 55 T 12 S,R 6 E IMP (3019 W ADMIRAL DOYLE DR) ITEM 1 IMP ( METAL SHOP BLDG) ITEM 3 IMP (WELDING/SANDBLASTING) ITEM 4 LAND COMM SITE DEVELOPMENT ITEM 5 ACQ: PRODUCTION WELL TESTERS INC - 2001 (1227-910)</t>
  </si>
  <si>
    <t>TETRA APPLIED TECHNOLOGIES INC</t>
  </si>
  <si>
    <t>1900 Dalrock Rd, Rowlett, TX 75088</t>
  </si>
  <si>
    <t>https://www.civicsource.com/IBS24379</t>
  </si>
  <si>
    <t>503 E Hwy 90, Jeanerette, LA</t>
  </si>
  <si>
    <t>UNDIVIDED INTEREST OF : 100% IN: 4.94 AC.... FRILOT ST. &amp; SEGURA LANE, HWY 90, CURTIS LANE, FRILOT ST. &amp; SEGURA SUB, TRACT B BEING TRACT A OF PLAT LOCATED IN SEC. 27, T 12 S, R 6 E IMP (SCOTTISH INN OFC - 503 E HWY 90) ITEM 1 ACQ: SPANISH TRAIL HOSPITALITY CORPORATION - 1995 (1086-194) IMP (SCOTTISH INN - 40 ROOMS - 503 E HWY 90) ITEM 3 IMP (SCOTTISH INN - 40 ROOMS - 503 E HWY 90) ITEM 4 IMP (STORAGE) ITEM 5 IMP (STORAGE) ITEM 6</t>
  </si>
  <si>
    <t>MERCURY MOTEL SYSTEMS INC</t>
  </si>
  <si>
    <t>503 E  Hwy  90, New Iberia, LA 70560</t>
  </si>
  <si>
    <t>https://www.civicsource.com/IBS23356</t>
  </si>
  <si>
    <t>5109 E Old Spanish Tr, Delcambre, LA</t>
  </si>
  <si>
    <t>UNDIVIDED INTEREST OF : 100% IN: 1-210 X 850 (4.09 AC.) ITEM 2 BAYOU TECHE, HWY. 182, SMITH, AUCOIN. LOCATED IN SEC. 41, T 12 S,R 7 E. IMP (5109 E OLD SPANISH TRAIL- OFFICE) ITEM 1 IMP (5109 E OLD SPANISH TRAIL-FAB SHOP 1 &amp; 2) ITEM 3 ACQ: INT OF L &amp; H LAND AND MINERALS LLC THRU QUITCLAIM DEED - 2019 (1663-558)</t>
  </si>
  <si>
    <t>https://www.civicsource.com/IBS24388</t>
  </si>
  <si>
    <t>611 Queen City Dr, LA</t>
  </si>
  <si>
    <t>UNDIVIDED INTEREST OF : 100% IN: 2.979 ACRES ITEM 1 BROWN PARTNERSHIP, MACRO OIL CO, LOWES RD, HEBERT BEING PARCEL 2 OF PLAT LOCATED IN SEC. 21, T 12 S,R 6 E. ACQ: MACRO OIL COMPANY INC - 2003 (1254-975) IMP (DAYS INN - 611 QUEEN CITY DR) ITEM 2 LAND COMM SITE DEVELOPMENT ITEM 3 IMP (LAQUINTA INN - 611 A QUEEN CITY DR) ITEM 4 LAND COMM SITE DEVELOPMENT ITEM 5</t>
  </si>
  <si>
    <t>OM LODGING ASSOCIATES INC</t>
  </si>
  <si>
    <t>611 Queen City Dr, New Iberia, LA 70560</t>
  </si>
  <si>
    <t>https://www.civicsource.com/CNI10490</t>
  </si>
  <si>
    <t>https://www.civicsource.com/IBS24584</t>
  </si>
  <si>
    <t>LA</t>
  </si>
  <si>
    <t>UNDIVIDED INTEREST OF : 1.72% IN: 47.00 AC..... DECLOUET, ROAD, ROAD, LEWIS BEING TRACT A OF PLAT ACQ: R ALEXANDER BROUSSARD FOR NON-PAYMENT OF 1989 PARISH TAXES - 1990 (995-502) ACQ: ROBERT CHEATWOOD ACQ 1% INT OF STEVE RHODES THRU TAX SALE FOR NON PAYMENT OF 2009 PARISH TAXES - 2010 (1459-792) ACQ: LUKE &amp; MIRIAM BOUDREAUX ACQ 1% INT OF STEVE RHODES FOR NON PAYMENT OF 2010 PARISH TAXES - 2011 (1483-858) ACQ: ROBERT CHEATWOOD ACQ 72% OF 1% OF LUKE BOUDREAUX THRU TAX SALE FOR NON PAYMENT OF 2016 PARISH TAXES - 2017 (1628-647) ACQ: CLYDE GAFFORD ACQ INT OF STEVE RHODES (98% INT) THRU TAX SALE FOR NON PAYMENT OF 2016 PARISH TAXES - 2017 (1628-895) ACQ: CLYDE GAFFORD ACQ 0.28% INT OF LUKE BOUDREAUX THRU TAX SALE FOR NON PAYMENT OF 2017 PARISH TAXES - 2018 (1647-294)</t>
  </si>
  <si>
    <t>ROBERT CHEATWOOD</t>
  </si>
  <si>
    <t>350 Potter Rd, Doyline, LA 71023</t>
  </si>
  <si>
    <t>https://www.civicsource.com/IBS24827</t>
  </si>
  <si>
    <t>UNDIVIDED INTEREST OF : 100% IN: 0.68 AC- AN UNDIVIDED .0900 OF 1/16 INTEREST IN 120.00 AC: LOTS 5,6, NE/4 OF SW/4, SEC. 1; SW/4 OF NW/4, E/2 OF NW/4, SW/4 OF NE/4, NW/4 OF SW/4, SEC. 2; NE/4 OF SE/4 &amp; 7.50 AC IN SE CORNER OF E/2 OF NE/4, SEC. 3. ALL IN T 13 S,R 11 E. CONTAINING A TOTAL OF 287.50 AC IN IBERIA/ST. MARTIN PARISHES. ACQ: INT FROM CHARLTON H. LYONS SR. (359-119) ACQ: G. F. ABENDROTH ESTATE BY ASSIGNMENT 1989 (972-713)</t>
  </si>
  <si>
    <t>ABENDROTH INVESTMENTS</t>
  </si>
  <si>
    <t>13881 Hwy 157, Haughton, LA 71037</t>
  </si>
  <si>
    <t>https://www.civicsource.com/IBS23600</t>
  </si>
  <si>
    <t>New Iberia, LA</t>
  </si>
  <si>
    <t>UNDIVIDED INTEREST OF : 100% IN: 2.86 AC.. BEING AN 0.017144% INTEREST IN THE FOLLOWING DESCRIBED PROPERTY: 18.50 AC..TRACT B, SECTION 12. 25.00 AC..TRACT D, SECTION 11. 122.01 AC..TRACT E, SECTIONS 3 &amp; 10. ALL IN T 14 S,R 6 E. ACQ: JOHN M. WEEKS, EST.-1950 (193-1) ACQ: SUCC. AMELIA E. LAUGHLIN-1981 (761- 825) ACT OF CORRECTION - 1987 (935-160) ACQ: ANDRE G. LASALLE-1983 (814-5)</t>
  </si>
  <si>
    <t>HARRY G LASALLE</t>
  </si>
  <si>
    <t>77 Lakeside, Trinity, TX 75862</t>
  </si>
  <si>
    <t>https://www.civicsource.com/IBS23674</t>
  </si>
  <si>
    <t>UNDIVIDED INTEREST OF : 50% IN: 3.92 AC.... LAKE DAUTERIVE, MOBIL OIL EXPLORATION &amp; PRODUCING SOUTHEAST, INC &amp; WLE INC MOBIL OIL EXPLORATION &amp; PRODUCING SOUTHEAST, INC &amp; WLE INC MOBIL OIL EXPLORATION &amp; PRODUCING SOUTHEAST, INC &amp; WLE INC BEING PART OF 70.76 AC TRACT LOCATED IN SEC 27, T11S, R8E ACQ: WILLIAM D BLAKE ACQ 50% INT OF UNION TEXAS PETROLEUM CORP - 1986 (895-383) ACQ: SOURCE PETROLEUM ACQ INT OF WILLIAM D BLAKE - 2003 (1272-249) ACQ: AROC OIL &amp; GAS LLC ACQ INT OF SOURCE PETROLEUM - 2007 (1380-7) ACQ: WLE INC ACQ INT OF AROC OIL &amp; GAS LLC - 2008 (1399-683) ACQ: ORB EXPLORATION LLC ACQ INT OF WLE INC - 2012 (1501-398) ACQ: ESTEVAN DE LEON ACQ 50% INT OF ORB EXPLORATION THRU TAX SALE FOR NON PAYMENT OF 2018 PARISH TAXES - 2019 (1668-690)</t>
  </si>
  <si>
    <t>ESTEVAN DE LEON</t>
  </si>
  <si>
    <t>74 N Acacia Park Circle, The Woodlands, TX 77382</t>
  </si>
  <si>
    <t>https://www.civicsource.com/IBS23021</t>
  </si>
  <si>
    <t>Delcambre, LA</t>
  </si>
  <si>
    <t>UNDIVIDED INTEREST OF : 100% IN: 1 - 0.036AC..... (3/13 X 195/196) WEBB, SCOTT, SCOTT, LEE STATION RD BEING TRACT 1 PER PLAT LOCATED IN SEC 54, T 12 S,R 5 E. AND ALSO SEC 85 T 12 S,R 6 E ACQ: WILLIAM R SCOTT THRU ACT OF EXCHANGE - 2011 (1485-429)</t>
  </si>
  <si>
    <t>https://www.civicsource.com/IBS25042</t>
  </si>
  <si>
    <t>UNDIVIDED INTEREST OF : 100% IN: 1- 48 X 100 TRAPPEY, BROUSSARD, GACHASSIN, ST. JUDE ST ACQ: NELSON JACK ROWE - 2013 (1531-64)</t>
  </si>
  <si>
    <t>https://www.civicsource.com/CNI10715</t>
  </si>
  <si>
    <t>Jeanerette, LA</t>
  </si>
  <si>
    <t>UNDIVIDED INTEREST OF : 100% IN: 5.89 AC... BAYOU PARCPERDU, DEROUEN, ROMERO, DEROUEN. BEING PART TRACT B ON PLAT. LOCATED IN SEC 36, T 12 S, R 5 E. ACQ :MARCUS R &amp; ARTHUR L TRAHAN THRU DONATION - 2018 (1644-21)</t>
  </si>
  <si>
    <t>https://www.civicsource.com/IBS24348</t>
  </si>
  <si>
    <t>UNDIVIDED INTEREST OF : 100% IN: 5.50 AC DOUCET, BOURQUE, BRAQUET, BOURQUE BEING LOT B, MAP 2 LOCATED IN SEC 101, T 11 S, R 7 E ACQ: MARIA BRAQUET ALLEMAN - 2000 (1193-767)</t>
  </si>
  <si>
    <t>https://www.civicsource.com/IBS23288</t>
  </si>
  <si>
    <t>UNDIVIDED INTEREST OF : 31.16% IN: 82.60 AC... SE/4 OF NW/4 &amp; PART SW/4 OF NE/4 LOCATED IN SEC 44 T 13 S,R 7 E ACQ: MARJORIE B BROUSSARD WID. OF ROBERT BROUSSARD - 1974 (596-52) ACQ: CHRISTINE, MARY, ANTOINETTE &amp; WILLIAM ACQ UNDIV 1/2 INT OF CLARENCE W USEY THRU SUCC - 1989 (973-1) ACQ: ANTOINETTE ACQ INT OF WILLIAM USEY - 1994 (1084-65) ACQ: ANTOINETTE USEY LONG ACQ 1/4 INT CHRISTINE F USEY - 1996 (1126-456) ACQ: TODD M BADON, KENNETH U LONG, &amp; CHRISTINE M LONG ACQ INT OF ANTOINETTE U LONG THRU SUCC - 2005 (1315-544) ACQ: JACQUELINE WILSON KOCHENOWER, ELIE PAUL DUPRE, DEAN ANTHONY DUPRE AND JIMMIE LOUIS DUPRE ACQ INT OF HENRIETTA USEY DUPRE THRU SUCC AND ELIE PAUL DUPRE, DEAN ANTHONY DUPRE AND JIMMIE LOUIS DUPRE ACQ INT OF RUSSELL P DUPRE THRU SUCC - 2007 (1375-402) ACQ: MADISON ALEXANDRA BREEDLOVE, AARON MICHAEL LEBLANC AND AMBER MICHELLE LEBLANC ACQ INT OF TODD MICHAEL BADON THRU SUCC - 2017 (1634-625) ACQ: CLYDE GAFFORD ACQ 24% INT OF ELIE PAUL DUPRE ETALS THRU TAX SALE FOR NON PAYMENT OF 2017 PARISH TAXES - 2018 (1647-336) ACQ: JACQULINE WILSON ACQUIRED 59% INT OF 76% THRU TAX SALE FOR NON PAYMENT 2018 PARISH TAXES 2019 (1668-716)</t>
  </si>
  <si>
    <t>ELIE PAUL DUPRE</t>
  </si>
  <si>
    <t>8616 Weeks Island Rd, New Iberia, LA 70560</t>
  </si>
  <si>
    <t>https://www.civicsource.com/IBS24557</t>
  </si>
  <si>
    <t>UNDIVIDED INTEREST OF : 100% IN: 26.00 AC... PATOUT, BROUSSARD, STATE HWY 83, BROUSSARD &amp; WILLIAMS BEING SE/4 OF NE/4, SEC 44, T13S, R7E ACQ: ONIEL BROUSSARD - 1974 (594-596) ACQ: MARY K USEY, ANTOINETTE U LONG &amp; WILLIAM D USEY ACQ UNDIV 1/2 INT OF CLARENCE W USEY THRU SUCC - 1989 (973-1) ACQ: ANTOINETTE USEY LONG ACQ INT OF WILLIAM USEY - 1994 (1084-65) ACQ: ANTOINETTE USEY LONG ACQ INT CHRISTINE F USEY - 1996 (1126-458) ACQ: TODD M BADON, KENNETH U LONG, &amp; CHRISTINE M LONG ACQ INT OF ANTOINETTE U LONGTHRU SUCC - 2005 (1315-544) ACQ: JACQUELINE WILSON KOCHENOWER, ELIE PAUL DUPRE, DEAN ANTHONY DUPRE AND JIMMIE LOUIS DUPRE ACQ INT OF HENRIETTA USEY DUPRE THRU SUCC AND ELIE PAUL DUPRE, DEAN ANTHONY DUPRE AND JIMMIE LOUIS DUPRE ACQ INT OF RUSSELL P DUPRE THRU SUCC - 2007 (1375-402) ACQ: MADISON ALEXANDRA BREEDLOVE, AARON MICHAEL LEBLANC AND AMBER MICHELLE LEBLANC ACQ INT OF TODD MICHAEL BADON THRU SUCC - 2017 (1634-625)</t>
  </si>
  <si>
    <t>8616 Weeks Island Road, New Iberia, LA 70560</t>
  </si>
  <si>
    <t>https://www.civicsource.com/IBS23548</t>
  </si>
  <si>
    <t>UNDIVIDED INTEREST OF : 100% IN: 1-35 X 110 LANE, LOT 7, LOT 1, STREET ACQ. WILLIE LUMPKIN - 2008 (1407-125)</t>
  </si>
  <si>
    <t>JOYCE FREDERICK MILLER</t>
  </si>
  <si>
    <t>803 Canal, Jeanerette, LA 70544</t>
  </si>
  <si>
    <t>https://www.civicsource.com/IBS24689</t>
  </si>
  <si>
    <t>UNDIVIDED INTEREST OF : 100% IN: 1-67 X 95 WHITE, WILLIAM, STREET, SCHOOL.</t>
  </si>
  <si>
    <t>BERNADETTE VALLOT</t>
  </si>
  <si>
    <t>1020 Parkview St, Jeanerette, LA 70544</t>
  </si>
  <si>
    <t>https://www.civicsource.com/IBS24266</t>
  </si>
  <si>
    <t>UNDIVIDED INTEREST OF : 100% IN: 1-50 X 165/145 LOT 6, PART LOT 11, PART LOT 10, PART LOT 11. BEING N-PART LOT 11, BLK 2, LAUGHLIN ADD. ACQ: DAVIS JOSEPH VIATOR - 1993 (1057-51) ACT OF CORRECTION - 1995 (1088-206)</t>
  </si>
  <si>
    <t>RICKEY PAUL CHATMAN</t>
  </si>
  <si>
    <t>1307 Dillard St, New Iberia, LA 70560</t>
  </si>
  <si>
    <t>https://www.civicsource.com/IBS25229</t>
  </si>
  <si>
    <t>https://www.civicsource.com/IBS23262</t>
  </si>
  <si>
    <t>UNDIVIDED INTEREST OF : 100% IN: 3.63 AC.. ITEM 1 BEING LOT 10 OF PLAT. 1.07 AC.. ITEM 2 BEING LOT 26 OF PLAT. LOCATED IN SEC. 9 &amp; 14 T 12 S,R 7 E. ACQ: ALCIDE GREEN JR. ETAL THRU PARTITION-1983 (822-75)</t>
  </si>
  <si>
    <t>ALCIDE GREEN JR &amp; LARRY GREEN</t>
  </si>
  <si>
    <t>104 Amber St, Lafayette, LA 70507</t>
  </si>
  <si>
    <t>https://www.civicsource.com/IBS23717</t>
  </si>
  <si>
    <t>UNDIVIDED INTEREST OF : 100% IN: 0.22 AC. ROAD, ROAD, AMY, ROAD. ACQ: C &amp; G BROUSSARD LLC ACQ INT OF GILMAN DUGAS ESTATE THRU TAX SALE FOR NON PAYMENT OF 2013 PARISH TAXES - 2014 (1561-225)</t>
  </si>
  <si>
    <t>https://www.civicsource.com/IBS24574</t>
  </si>
  <si>
    <t>UNDIVIDED INTEREST OF : 100% IN: 1-56/53 X 334/346 BEING LOT 1 OF PLAT OF PARTITION. LOCATED IN SEC 24, T12S, R7E ACQ: DONALD W ARCHANGEL &amp; ROSEMARY A LANE ACQ INT OF CJ ARCHANGEL &amp; VIRGINIA W ARCHANGEL THRU SUCC - 2001 (1221-489)</t>
  </si>
  <si>
    <t>https://www.civicsource.com/IBS24125</t>
  </si>
  <si>
    <t>UNDIVIDED INTEREST OF : 100% IN: 1-50 X 120 LOT 29, LOT 25, FIELD ST, LANDRY. BEING LOT 27, BLK 2, WEST END SUB. ACQ: JOSEPH HOWARD JAMES-1972-(565-413)</t>
  </si>
  <si>
    <t>https://www.civicsource.com/IBS25375</t>
  </si>
  <si>
    <t>UNDIVIDED INTEREST OF : 100% IN: 18.981 AC BOURQUE, PUBLIC RD, MARTIN, LANDRY BEING PART LOT 4 OF PLAT. LOCATED IN SEC 94, T 11 S, R 7 E ACQ: MARIA BRAQUET ALLEMAN - 2000 (1202-626)</t>
  </si>
  <si>
    <t>https://www.civicsource.com/IBS25062</t>
  </si>
  <si>
    <t>UNDIVIDED INTEREST OF : 100% IN: 1-50 X 150 JOHNSTON, PASCAL, I.P.A., BANK.</t>
  </si>
  <si>
    <t>NARCISSE DONAT</t>
  </si>
  <si>
    <t>313 Walton St, New Iberia, LA 70560</t>
  </si>
  <si>
    <t>https://www.civicsource.com/IBS24287</t>
  </si>
  <si>
    <t>UNDIVIDED INTEREST OF : 100% IN: 1-160 X 164/229 ITEM 1 60' R/W, VIATOR, LOT 4, VIATOR. BEING LOT 3 OF PLAT. 1-60/85.76 X 226/164 ITEM 2 60' RIGHT OF PASSAGE, VIATOR, LOTS 5 &amp; 6, LOT 3. BEING LOT 4 OF PLAT. ACQ: ADEL MALAHMEH, DC- 2008 (1419-729)</t>
  </si>
  <si>
    <t>MAXUM INDUSTERIES, LLC</t>
  </si>
  <si>
    <t>Po Box 10044, New Iberia, LA 70562</t>
  </si>
  <si>
    <t>https://www.civicsource.com/IBS25244</t>
  </si>
  <si>
    <t>UNDIVIDED INTEREST OF : 100% IN: 2.52 AC... LOCATED IN SEC. 18, T 13 S, R 7 E BEING LOT 4A OF PLAT ACQ: STEVEN A OLIVIER ACQ INT OF MARCUS E OLIVIER THRU PARTITION - 2004 (1280-717)</t>
  </si>
  <si>
    <t>STEVEN A OLIVIER</t>
  </si>
  <si>
    <t>5912 Bourbon Dr, Carmichael, CA 95608</t>
  </si>
  <si>
    <t>https://www.civicsource.com/IBS23186</t>
  </si>
  <si>
    <t>Loreauville, LA</t>
  </si>
  <si>
    <t>UNDIVIDED INTEREST OF : 43.16% IN: 250.00 AC- GRAND RIVER, ?, HARDIN ETAL, GRAND RIVER. LOCATED IN SEC. 28 &amp; 29, FRACT.SEC. 29, EAST OF GRAND RIVER AND LOT 4 OF SEC. 28, T 12 S,R 12 E. ACQ: BRYAN GAUTREAUX ACQ 1% INT THRU TAX DEED FOR 2002 PARISH TAXES- 2003 (1262-03-8550) ACQ: BRYAN L GAUTREAUX ACQ 99% INT THRU TAX DEED- 2004 (1283-04-07743) ACQ: ROBERT CHEATWOOD ACQ 1% INT OF BRYAN L GAUTREAUX THRU TAX SALE FOR NON PAYMENT OF 2009 PARISH TAXES - 2010 (1459-800) ACQ: ROBERT CHEATWOOD ACQ 41% OF 99% INT OF BRYAN GAUTREAUX THRU TAX SALE FOR NON PAYMENT OF 2016 PARISH TAXES - 2017 (1628-747) ACQ: CLAYTON A CATHEY ACQ 99% OF 57.41% INT OF BRYAN GAUTREAUX THRU TAX SALE FOR NON PAYMENT OF 2017 PARISH TAXES - 2018 (1647-350) ACQ: ROBERT CHEATWOOD ACQ 100% OF 0.57% OF BRYAN GAUTREAUX THRU TAX SALE FOR NON PAYMENT OF 2018 PARISH TAXES - 2019 (1668-755)</t>
  </si>
  <si>
    <t>https://www.civicsource.com/IBS24096</t>
  </si>
  <si>
    <t>UNDIVIDED INTEREST OF : 100% IN: 1-50 X 465 ITEM 1 SIMON, SIMON, TECHE, ROAD. LOCATED IN SEC 81, T11S, R7E ACQ: LOUIS SIMON-(181-461) 1-25 X ? ITEM 2 SIMON, SIMON, TECHE, ROAD. LOCATED IN SEC 81, T11S, R7E ACQ: MARY S. DOMINIQUE-(178-407)</t>
  </si>
  <si>
    <t>DALEY SIMON</t>
  </si>
  <si>
    <t>https://www.civicsource.com/IBS23684</t>
  </si>
  <si>
    <t>UNDIVIDED INTEREST OF : 100% IN: 1.02 AC.. BEING AN UNDIVID 1/2 INTEREST IN: AN UNDIVID.1/14 INT IN A 33.67 ARPENT TRACT: LABICHE, ROAD, HIGHWAY, ROAD. ACQ: SUCC GUSTAVE O. LAMPEREZ, SR1974-(595-752)</t>
  </si>
  <si>
    <t>GUSTAVE O LAMPEREZ JR</t>
  </si>
  <si>
    <t>506 W Main St, New Iberia, LA 70560</t>
  </si>
  <si>
    <t>https://www.civicsource.com/IBS25003</t>
  </si>
  <si>
    <t>UNDIVIDED INTEREST OF : 100% IN: 0.9666 ACRES UNDESIGNATED OWNER, LOT 2, BAYOU TECHE, HWY 344 BEING LOT 1 OF PLAT LOCATED IN SECS. 77 &amp; 78, T 11 S,R 7 E. ACQ: SUCC LEONARD RANSONET THRU ACT OF DONATION FROM ADELE B RANSONET - 1980 (747-87)(748-101) ACQ: SANDRA RANSONET FARRAR ACQ: 1/4TH INT OF LAWRENCE JOSEPH RANSONET THRU SUCC - 1983 (808-331) ACQ: JULIETTE R. DRESSEL; LINDA R. CLIFTON &amp; JULIUS A. RANSONET, JR. ACQ. 1/3RD OF 1/4 TH INT. FROM SUCC. JULIUS RANSONET-1984 (856-351) ACQ: CHEREE GONSOULIN LAVALAIS, VERNON W GONSOULIN, PERRY LEE GONSOULIN MOREAU, JAMES JOSEPH GONSOULIN &amp; JEAN GONSOULIN TOEPFER ACQ 1/4 INT OF LILLIAN R GONSOULIN THRU DONATION - 2000 (1198-505) ACQ: ACT OF CORRECTION TO INCLUDE JULIE VIRGINIA BURT &amp; ELIZABETH ADELE BURT TO LIST OF DONEE'S - 2000 (1206-778) ACQ: CHERYL HEBERT GONSOULIN ACQ 2.08 % INT (1/2 OF 4.17%) FROM VERNON WILLIAM GONSOULIN THRU DONATION - 2001 (1222-458) ACQ: CAROL ANN RANSONET &amp; GAYLE RANSONET RICHE ACQ INT OF NEALEAS J RANSONET THRU SUCC - 2007 (1373-288) ACQ: CAROL A RANSONET &amp; GAYLE R RICHE ACQ INT OF JULIETTE R DRESSEL ETAL THRU PARTITION - 2008 (1388-805)</t>
  </si>
  <si>
    <t>CAROL ANN RANSONET</t>
  </si>
  <si>
    <t>3400 Wakefield Ave, Houma, LA 70363</t>
  </si>
  <si>
    <t>https://www.civicsource.com/IBS25029</t>
  </si>
  <si>
    <t>UNDIVIDED INTEREST OF : 100% IN: 1-168 X 224 X 153 (TRIANGULAR) ROAD, ROAD, ROAD. BEING TRIANGULAR NEAR THE TOWN OF PATOUTVILLE. ACQ: SUCC ROY J WALKER - 1997 (1149-872) ACQ: CHERYL A WALKER, DEANNA W BINGHAM &amp; WAYNE PATOUT ACQ INT OF CATHERINE BUTEAU WALKER THRU SUCC - 2001 - (1224-703) ACQ: INT OF CHERYL A WALKER &amp; WAYNE PATOUT THRU PARTITION - 2001 - (1224-713) ACQ: CHANCE DELOME ACQ INT OF DEANNA W BINGHAM FOR NON PAYMENT OF 2011 PARISH TAXES - 2012 (1509-41) ACQ: C &amp; G BROUSSARD HOLDINGS LLC ACQ INT OF CHANCE DELOME THRU TAX SALE FOR NON PAYMENT OF 2013 PARISH TAXES - 2014 (1561-183)</t>
  </si>
  <si>
    <t>https://www.civicsource.com/IBS24934</t>
  </si>
  <si>
    <t>UNDIVIDED INTEREST OF : 100% IN: 1.67 AC.. SIGUE, S 1/3 LOT 16 OF PLAT. ITEM 1, SCHEXNAYDER, LEGNON BEING N-2/3RDS, LOT 16 OF PLAT. BEING SEC. 8, T 13 S, R 7 E. 1-190 X 120 ITEM 2 SCHEXNAYDER, DELAHOUSSAYE, LOT G, LOT E. BEING LOT F OF PLAT. BEING LOT 17, T 13 S,R 7 E ACQ: HEBERT OLIVIER JR - 2004 (1278-312)</t>
  </si>
  <si>
    <t>https://www.civicsource.com/IBS24832</t>
  </si>
  <si>
    <t>UNDIVIDED INTEREST OF : 100% IN: 1.30 AC.. BOUTTE, FONTENETTE, FRILOT, OLIVIER. LOCATED IN SEC 25, T 12 S, R 7 E ACQ: SARAH FONTENETTE ACQ. 1/8 INT. OF HARRY SHAW-1967-(499-391) ACQ: PATRICIA ANN SHAW &amp; OVERTON PHILLIPS ACQ 1/8 INT OF SARAH FONTENETTE - 1985 (883-583)</t>
  </si>
  <si>
    <t>OLIVIER J SHAW &amp; % PATRICIA SHAW</t>
  </si>
  <si>
    <t>2119 Stillwater, Mesquite, TX 75181-1793</t>
  </si>
  <si>
    <t>https://www.civicsource.com/IBS24949</t>
  </si>
  <si>
    <t>UNDIVIDED INTEREST OF : 100% IN: 1.00 AC.. ROAD, BOUTTE, RAGUETTE, OLIVIER. 1.70 AC.. OLIVIER, ROAD, HECTOR, ROAD. LOCATED IN SEC. 25 T 12 S,R 7 E.</t>
  </si>
  <si>
    <t>W M HECTOR JR</t>
  </si>
  <si>
    <t>417 Archangel, New Iberia, LA 70563</t>
  </si>
  <si>
    <t>https://www.civicsource.com/IBS23183</t>
  </si>
  <si>
    <t>UNDIVIDED INTEREST OF : 100% IN: 1.54 AC... GREEN, FRILOT, FONTENETTE, TERRY BEING PART LOT 12 OF ORIGINAL PARTITION IN 1905 ACQ: VIOLA D MARSHALL, LINDA D JONES, HELEN D MOSES, DORIS D RUE, DIANNA DAY, GAYLA DAY, DENISE D JAMES, HOWARD J DAY, RONALD J DAY, LORRAINE D SIGUE, PATRICIA D FONTENETTE, BEVERLY A DAY, VANESSA D MARTIN, GREGORY P DAY, AND SHARON A DAY ACQ INT OF LIVINGSTON DAY AND VIOLA DAY THRU SUCC - 2008 (1390-624) ACQ: LINDA D JONES, DORIS LOUISE DAY RUE, DIANNA ELAINE DAY, GAYLA SHRINE DAY, DENISE DAY JAMES, HOWARD J DAY JR, RONALD J DAY SR, LORRAINE D SIGUE, PATRICIA FONTENETTE DAY, VANESSA DAY MARTIN, GREGORY PAUL DAY, SHARON ANN DAY, DRUNELL MARSHALL AND DENARD MARSHALL ACQ INT OF LIVINGSTON DAY, VIOLA WARWICK DAY, MCKINLEY J DAY, JUNIUS M DAY, HOWARD J DAY, VIOLA DAY MARSHALL AND LATRECY MARSHALL THRU SUCC - 2010 (1471-12)</t>
  </si>
  <si>
    <t>112 Parker St, New Iberia, LA 70560</t>
  </si>
  <si>
    <t>https://www.civicsource.com/IBS24360</t>
  </si>
  <si>
    <t>UNDIVIDED INTEREST OF : 100% IN: 2.35 AC... HILL, CHURCH, KRUGER, ROAD LOCATED IN SEC 29 T 12 S,R 6 E ACQ: BESSIE ROBERTSON - 1957 (290-367)</t>
  </si>
  <si>
    <t>ALLEN COLLINS PLACIDE</t>
  </si>
  <si>
    <t>1708 Hill Rd, New Iberia, LA 70560</t>
  </si>
  <si>
    <t>https://www.civicsource.com/IBS23738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</si>
</sst>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8" fontId="0" fillId="0" borderId="0" xfId="0" applyNumberFormat="1"/>
    <xf numFmtId="22"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4"/>
  <sheetViews>
    <sheetView tabSelected="1" workbookViewId="0"/>
  </sheetViews>
  <sheetFormatPr defaultRowHeight="15" x14ac:dyDescent="0.25"/>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tr">
        <f>"0500826490"</f>
        <v>0500826490</v>
      </c>
      <c r="D2" t="s">
        <v>13</v>
      </c>
      <c r="E2" t="s">
        <v>14</v>
      </c>
      <c r="F2" t="s">
        <v>15</v>
      </c>
      <c r="G2" t="s">
        <v>16</v>
      </c>
      <c r="H2" s="1">
        <v>383.07</v>
      </c>
      <c r="I2" s="2">
        <v>43984.333333333336</v>
      </c>
      <c r="J2" s="2">
        <v>43984.833333333336</v>
      </c>
      <c r="K2" t="s">
        <v>17</v>
      </c>
    </row>
    <row r="3" spans="1:11" x14ac:dyDescent="0.25">
      <c r="A3" t="s">
        <v>11</v>
      </c>
      <c r="B3" t="s">
        <v>12</v>
      </c>
      <c r="C3" t="str">
        <f>"0500032495"</f>
        <v>0500032495</v>
      </c>
      <c r="D3" t="s">
        <v>18</v>
      </c>
      <c r="E3" t="s">
        <v>19</v>
      </c>
      <c r="F3" t="s">
        <v>20</v>
      </c>
      <c r="G3" t="s">
        <v>21</v>
      </c>
      <c r="H3" s="1">
        <v>389.97</v>
      </c>
      <c r="I3" s="2">
        <v>43984.333333333336</v>
      </c>
      <c r="J3" s="2">
        <v>43984.833333333336</v>
      </c>
      <c r="K3" t="s">
        <v>22</v>
      </c>
    </row>
    <row r="4" spans="1:11" x14ac:dyDescent="0.25">
      <c r="A4" t="s">
        <v>11</v>
      </c>
      <c r="B4" t="s">
        <v>12</v>
      </c>
      <c r="C4" t="str">
        <f>"0503458500"</f>
        <v>0503458500</v>
      </c>
      <c r="D4" t="s">
        <v>23</v>
      </c>
      <c r="E4" t="s">
        <v>24</v>
      </c>
      <c r="F4" t="s">
        <v>25</v>
      </c>
      <c r="G4" t="s">
        <v>26</v>
      </c>
      <c r="H4" s="1">
        <v>393.06</v>
      </c>
      <c r="I4" s="2">
        <v>43984.333333333336</v>
      </c>
      <c r="J4" s="2">
        <v>43984.833333333336</v>
      </c>
      <c r="K4" t="s">
        <v>27</v>
      </c>
    </row>
    <row r="5" spans="1:11" x14ac:dyDescent="0.25">
      <c r="A5" t="s">
        <v>11</v>
      </c>
      <c r="B5" t="s">
        <v>12</v>
      </c>
      <c r="C5" t="str">
        <f>"0501098416"</f>
        <v>0501098416</v>
      </c>
      <c r="D5" t="s">
        <v>28</v>
      </c>
      <c r="E5" t="s">
        <v>29</v>
      </c>
      <c r="F5" t="s">
        <v>30</v>
      </c>
      <c r="G5" t="s">
        <v>31</v>
      </c>
      <c r="H5" s="1">
        <v>405.44</v>
      </c>
      <c r="I5" s="2">
        <v>43984.333333333336</v>
      </c>
      <c r="J5" s="2">
        <v>43984.833333333336</v>
      </c>
      <c r="K5" t="s">
        <v>32</v>
      </c>
    </row>
    <row r="6" spans="1:11" x14ac:dyDescent="0.25">
      <c r="A6" t="s">
        <v>11</v>
      </c>
      <c r="B6" t="s">
        <v>12</v>
      </c>
      <c r="C6" t="str">
        <f>"0503527290"</f>
        <v>0503527290</v>
      </c>
      <c r="D6" t="s">
        <v>33</v>
      </c>
      <c r="E6" t="s">
        <v>34</v>
      </c>
      <c r="F6" t="s">
        <v>35</v>
      </c>
      <c r="G6" t="s">
        <v>36</v>
      </c>
      <c r="H6" s="1">
        <v>414.14</v>
      </c>
      <c r="I6" s="2">
        <v>43984.333333333336</v>
      </c>
      <c r="J6" s="2">
        <v>43984.833333333336</v>
      </c>
      <c r="K6" t="s">
        <v>37</v>
      </c>
    </row>
    <row r="7" spans="1:11" x14ac:dyDescent="0.25">
      <c r="A7" t="s">
        <v>11</v>
      </c>
      <c r="B7" t="s">
        <v>12</v>
      </c>
      <c r="C7" t="str">
        <f>"0501295545"</f>
        <v>0501295545</v>
      </c>
      <c r="D7" t="s">
        <v>38</v>
      </c>
      <c r="E7" t="s">
        <v>39</v>
      </c>
      <c r="F7" t="s">
        <v>40</v>
      </c>
      <c r="G7" t="s">
        <v>41</v>
      </c>
      <c r="H7" s="1">
        <v>433.73</v>
      </c>
      <c r="I7" s="2">
        <v>43984.333333333336</v>
      </c>
      <c r="J7" s="2">
        <v>43984.833333333336</v>
      </c>
      <c r="K7" t="s">
        <v>42</v>
      </c>
    </row>
    <row r="8" spans="1:11" x14ac:dyDescent="0.25">
      <c r="A8" t="s">
        <v>11</v>
      </c>
      <c r="B8" t="s">
        <v>12</v>
      </c>
      <c r="C8" t="str">
        <f>"0500257490"</f>
        <v>0500257490</v>
      </c>
      <c r="D8" t="s">
        <v>43</v>
      </c>
      <c r="E8" t="s">
        <v>44</v>
      </c>
      <c r="F8" t="s">
        <v>45</v>
      </c>
      <c r="G8" t="s">
        <v>46</v>
      </c>
      <c r="H8" s="1">
        <v>435.99</v>
      </c>
      <c r="I8" s="2">
        <v>43984.333333333336</v>
      </c>
      <c r="J8" s="2">
        <v>43984.833333333336</v>
      </c>
      <c r="K8" t="s">
        <v>47</v>
      </c>
    </row>
    <row r="9" spans="1:11" x14ac:dyDescent="0.25">
      <c r="A9" t="s">
        <v>11</v>
      </c>
      <c r="B9" t="s">
        <v>12</v>
      </c>
      <c r="C9" t="str">
        <f>"0501810190"</f>
        <v>0501810190</v>
      </c>
      <c r="D9" t="s">
        <v>48</v>
      </c>
      <c r="E9" t="s">
        <v>49</v>
      </c>
      <c r="F9" t="s">
        <v>50</v>
      </c>
      <c r="G9" t="s">
        <v>51</v>
      </c>
      <c r="H9" s="1">
        <v>437.47</v>
      </c>
      <c r="I9" s="2">
        <v>43984.333333333336</v>
      </c>
      <c r="J9" s="2">
        <v>43984.833333333336</v>
      </c>
      <c r="K9" t="s">
        <v>52</v>
      </c>
    </row>
    <row r="10" spans="1:11" x14ac:dyDescent="0.25">
      <c r="A10" t="s">
        <v>11</v>
      </c>
      <c r="B10" t="s">
        <v>12</v>
      </c>
      <c r="C10" t="str">
        <f>"0502922526"</f>
        <v>0502922526</v>
      </c>
      <c r="D10" t="s">
        <v>53</v>
      </c>
      <c r="E10" t="s">
        <v>54</v>
      </c>
      <c r="F10" t="s">
        <v>55</v>
      </c>
      <c r="G10" t="s">
        <v>56</v>
      </c>
      <c r="H10" s="1">
        <v>462.48</v>
      </c>
      <c r="I10" s="2">
        <v>43984.333333333336</v>
      </c>
      <c r="J10" s="2">
        <v>43984.833333333336</v>
      </c>
      <c r="K10" t="s">
        <v>57</v>
      </c>
    </row>
    <row r="11" spans="1:11" x14ac:dyDescent="0.25">
      <c r="A11" t="s">
        <v>11</v>
      </c>
      <c r="B11" t="s">
        <v>12</v>
      </c>
      <c r="C11" t="str">
        <f>"0503894500"</f>
        <v>0503894500</v>
      </c>
      <c r="D11" t="s">
        <v>58</v>
      </c>
      <c r="E11" t="s">
        <v>59</v>
      </c>
      <c r="F11" t="s">
        <v>60</v>
      </c>
      <c r="G11" t="s">
        <v>61</v>
      </c>
      <c r="H11" s="1">
        <v>471.67</v>
      </c>
      <c r="I11" s="2">
        <v>43984.333333333336</v>
      </c>
      <c r="J11" s="2">
        <v>43984.833333333336</v>
      </c>
      <c r="K11" t="s">
        <v>62</v>
      </c>
    </row>
    <row r="12" spans="1:11" x14ac:dyDescent="0.25">
      <c r="A12" t="s">
        <v>11</v>
      </c>
      <c r="B12" t="s">
        <v>12</v>
      </c>
      <c r="C12" t="str">
        <f>"0501051000"</f>
        <v>0501051000</v>
      </c>
      <c r="D12" t="s">
        <v>63</v>
      </c>
      <c r="E12" t="s">
        <v>64</v>
      </c>
      <c r="F12" t="s">
        <v>65</v>
      </c>
      <c r="G12" t="s">
        <v>66</v>
      </c>
      <c r="H12" s="1">
        <v>472.08</v>
      </c>
      <c r="I12" s="2">
        <v>43984.333333333336</v>
      </c>
      <c r="J12" s="2">
        <v>43984.833333333336</v>
      </c>
      <c r="K12" t="s">
        <v>67</v>
      </c>
    </row>
    <row r="13" spans="1:11" x14ac:dyDescent="0.25">
      <c r="A13" t="s">
        <v>11</v>
      </c>
      <c r="B13" t="s">
        <v>12</v>
      </c>
      <c r="C13" t="str">
        <f>"7506039049"</f>
        <v>7506039049</v>
      </c>
      <c r="D13" t="s">
        <v>68</v>
      </c>
      <c r="E13" t="s">
        <v>69</v>
      </c>
      <c r="F13" t="s">
        <v>70</v>
      </c>
      <c r="G13" t="s">
        <v>71</v>
      </c>
      <c r="H13" s="1">
        <v>473.22</v>
      </c>
      <c r="I13" s="2">
        <v>43984.333333333336</v>
      </c>
      <c r="J13" s="2">
        <v>43984.833333333336</v>
      </c>
      <c r="K13" t="s">
        <v>72</v>
      </c>
    </row>
    <row r="14" spans="1:11" x14ac:dyDescent="0.25">
      <c r="A14" t="s">
        <v>11</v>
      </c>
      <c r="B14" t="s">
        <v>12</v>
      </c>
      <c r="C14" t="str">
        <f>"0505337500"</f>
        <v>0505337500</v>
      </c>
      <c r="D14" t="s">
        <v>73</v>
      </c>
      <c r="E14" t="s">
        <v>74</v>
      </c>
      <c r="F14" t="s">
        <v>75</v>
      </c>
      <c r="G14" t="s">
        <v>76</v>
      </c>
      <c r="H14" s="1">
        <v>476.74</v>
      </c>
      <c r="I14" s="2">
        <v>43984.333333333336</v>
      </c>
      <c r="J14" s="2">
        <v>43984.833333333336</v>
      </c>
      <c r="K14" t="s">
        <v>77</v>
      </c>
    </row>
    <row r="15" spans="1:11" x14ac:dyDescent="0.25">
      <c r="A15" t="s">
        <v>11</v>
      </c>
      <c r="B15" t="s">
        <v>12</v>
      </c>
      <c r="C15" t="str">
        <f>"0505461500"</f>
        <v>0505461500</v>
      </c>
      <c r="D15" t="s">
        <v>78</v>
      </c>
      <c r="E15" t="s">
        <v>79</v>
      </c>
      <c r="F15" t="s">
        <v>80</v>
      </c>
      <c r="G15" t="s">
        <v>81</v>
      </c>
      <c r="H15" s="1">
        <v>487.85</v>
      </c>
      <c r="I15" s="2">
        <v>43984.333333333336</v>
      </c>
      <c r="J15" s="2">
        <v>43984.833333333336</v>
      </c>
      <c r="K15" t="s">
        <v>82</v>
      </c>
    </row>
    <row r="16" spans="1:11" x14ac:dyDescent="0.25">
      <c r="A16" t="s">
        <v>11</v>
      </c>
      <c r="B16" t="s">
        <v>12</v>
      </c>
      <c r="C16" t="str">
        <f>"0505059500"</f>
        <v>0505059500</v>
      </c>
      <c r="D16" t="s">
        <v>83</v>
      </c>
      <c r="E16" t="s">
        <v>84</v>
      </c>
      <c r="F16" t="s">
        <v>85</v>
      </c>
      <c r="G16" t="s">
        <v>86</v>
      </c>
      <c r="H16" s="1">
        <v>488.32</v>
      </c>
      <c r="I16" s="2">
        <v>43984.333333333336</v>
      </c>
      <c r="J16" s="2">
        <v>43984.833333333336</v>
      </c>
      <c r="K16" t="s">
        <v>87</v>
      </c>
    </row>
    <row r="17" spans="1:11" x14ac:dyDescent="0.25">
      <c r="A17" t="s">
        <v>11</v>
      </c>
      <c r="B17" t="s">
        <v>12</v>
      </c>
      <c r="C17" t="str">
        <f>"0505257000C"</f>
        <v>0505257000C</v>
      </c>
      <c r="D17" t="s">
        <v>88</v>
      </c>
      <c r="E17" t="s">
        <v>89</v>
      </c>
      <c r="F17" t="s">
        <v>90</v>
      </c>
      <c r="G17" t="s">
        <v>91</v>
      </c>
      <c r="H17" s="1">
        <v>489.58</v>
      </c>
      <c r="I17" s="2">
        <v>43984.333333333336</v>
      </c>
      <c r="J17" s="2">
        <v>43984.833333333336</v>
      </c>
      <c r="K17" t="s">
        <v>92</v>
      </c>
    </row>
    <row r="18" spans="1:11" x14ac:dyDescent="0.25">
      <c r="A18" t="s">
        <v>11</v>
      </c>
      <c r="B18" t="s">
        <v>12</v>
      </c>
      <c r="C18" t="str">
        <f>"0504844500"</f>
        <v>0504844500</v>
      </c>
      <c r="D18" t="s">
        <v>93</v>
      </c>
      <c r="E18" t="s">
        <v>94</v>
      </c>
      <c r="F18" t="s">
        <v>95</v>
      </c>
      <c r="G18" t="s">
        <v>96</v>
      </c>
      <c r="H18" s="1">
        <v>490.3</v>
      </c>
      <c r="I18" s="2">
        <v>43984.333333333336</v>
      </c>
      <c r="J18" s="2">
        <v>43984.833333333336</v>
      </c>
      <c r="K18" t="s">
        <v>97</v>
      </c>
    </row>
    <row r="19" spans="1:11" x14ac:dyDescent="0.25">
      <c r="A19" t="s">
        <v>11</v>
      </c>
      <c r="B19" t="s">
        <v>12</v>
      </c>
      <c r="C19" t="str">
        <f>"0502882500"</f>
        <v>0502882500</v>
      </c>
      <c r="D19" t="s">
        <v>98</v>
      </c>
      <c r="E19" t="s">
        <v>99</v>
      </c>
      <c r="F19" t="s">
        <v>100</v>
      </c>
      <c r="G19" t="s">
        <v>101</v>
      </c>
      <c r="H19" s="1">
        <v>496.49</v>
      </c>
      <c r="I19" s="2">
        <v>43984.333333333336</v>
      </c>
      <c r="J19" s="2">
        <v>43984.833333333336</v>
      </c>
      <c r="K19" t="s">
        <v>102</v>
      </c>
    </row>
    <row r="20" spans="1:11" x14ac:dyDescent="0.25">
      <c r="A20" t="s">
        <v>11</v>
      </c>
      <c r="B20" t="s">
        <v>12</v>
      </c>
      <c r="C20" t="str">
        <f>"0504556000"</f>
        <v>0504556000</v>
      </c>
      <c r="D20" t="s">
        <v>103</v>
      </c>
      <c r="E20" t="s">
        <v>104</v>
      </c>
      <c r="F20" t="s">
        <v>100</v>
      </c>
      <c r="G20" t="s">
        <v>101</v>
      </c>
      <c r="H20" s="1">
        <v>496.62</v>
      </c>
      <c r="I20" s="2">
        <v>43984.333333333336</v>
      </c>
      <c r="J20" s="2">
        <v>43984.833333333336</v>
      </c>
      <c r="K20" t="s">
        <v>105</v>
      </c>
    </row>
    <row r="21" spans="1:11" x14ac:dyDescent="0.25">
      <c r="A21" t="s">
        <v>11</v>
      </c>
      <c r="B21" t="s">
        <v>12</v>
      </c>
      <c r="C21" t="str">
        <f>"0502491500"</f>
        <v>0502491500</v>
      </c>
      <c r="D21" t="s">
        <v>106</v>
      </c>
      <c r="E21" t="s">
        <v>107</v>
      </c>
      <c r="F21" t="s">
        <v>100</v>
      </c>
      <c r="G21" t="s">
        <v>101</v>
      </c>
      <c r="H21" s="1">
        <v>497.8</v>
      </c>
      <c r="I21" s="2">
        <v>43984.333333333336</v>
      </c>
      <c r="J21" s="2">
        <v>43984.833333333336</v>
      </c>
      <c r="K21" t="s">
        <v>108</v>
      </c>
    </row>
    <row r="22" spans="1:11" x14ac:dyDescent="0.25">
      <c r="A22" t="s">
        <v>11</v>
      </c>
      <c r="B22" t="s">
        <v>12</v>
      </c>
      <c r="C22" t="str">
        <f>"0501354500C"</f>
        <v>0501354500C</v>
      </c>
      <c r="D22" t="s">
        <v>109</v>
      </c>
      <c r="E22" t="s">
        <v>110</v>
      </c>
      <c r="F22" t="s">
        <v>111</v>
      </c>
      <c r="G22" t="s">
        <v>112</v>
      </c>
      <c r="H22" s="1">
        <v>504.63</v>
      </c>
      <c r="I22" s="2">
        <v>43984.333333333336</v>
      </c>
      <c r="J22" s="2">
        <v>43984.833333333336</v>
      </c>
      <c r="K22" t="s">
        <v>113</v>
      </c>
    </row>
    <row r="23" spans="1:11" x14ac:dyDescent="0.25">
      <c r="A23" t="s">
        <v>11</v>
      </c>
      <c r="B23" t="s">
        <v>12</v>
      </c>
      <c r="C23" t="str">
        <f>"0505525500A"</f>
        <v>0505525500A</v>
      </c>
      <c r="D23" t="s">
        <v>114</v>
      </c>
      <c r="E23" t="s">
        <v>115</v>
      </c>
      <c r="F23" t="s">
        <v>116</v>
      </c>
      <c r="G23" t="s">
        <v>117</v>
      </c>
      <c r="H23" s="1">
        <v>511.81</v>
      </c>
      <c r="I23" s="2">
        <v>43984.333333333336</v>
      </c>
      <c r="J23" s="2">
        <v>43984.833333333336</v>
      </c>
      <c r="K23" t="s">
        <v>118</v>
      </c>
    </row>
    <row r="24" spans="1:11" x14ac:dyDescent="0.25">
      <c r="A24" t="s">
        <v>11</v>
      </c>
      <c r="B24" t="s">
        <v>12</v>
      </c>
      <c r="C24" t="str">
        <f>"0500029000"</f>
        <v>0500029000</v>
      </c>
      <c r="D24" t="s">
        <v>119</v>
      </c>
      <c r="E24" t="s">
        <v>120</v>
      </c>
      <c r="F24" t="s">
        <v>100</v>
      </c>
      <c r="G24" t="s">
        <v>101</v>
      </c>
      <c r="H24" s="1">
        <v>512.44000000000005</v>
      </c>
      <c r="I24" s="2">
        <v>43984.333333333336</v>
      </c>
      <c r="J24" s="2">
        <v>43984.833333333336</v>
      </c>
      <c r="K24" t="s">
        <v>121</v>
      </c>
    </row>
    <row r="25" spans="1:11" x14ac:dyDescent="0.25">
      <c r="A25" t="s">
        <v>11</v>
      </c>
      <c r="B25" t="s">
        <v>12</v>
      </c>
      <c r="C25" t="str">
        <f>"0501494000"</f>
        <v>0501494000</v>
      </c>
      <c r="D25" t="s">
        <v>122</v>
      </c>
      <c r="E25" t="s">
        <v>123</v>
      </c>
      <c r="F25" t="s">
        <v>124</v>
      </c>
      <c r="G25" t="s">
        <v>125</v>
      </c>
      <c r="H25" s="1">
        <v>512.85</v>
      </c>
      <c r="I25" s="2">
        <v>43984.333333333336</v>
      </c>
      <c r="J25" s="2">
        <v>43984.833333333336</v>
      </c>
      <c r="K25" t="s">
        <v>126</v>
      </c>
    </row>
    <row r="26" spans="1:11" x14ac:dyDescent="0.25">
      <c r="A26" t="s">
        <v>11</v>
      </c>
      <c r="B26" t="s">
        <v>12</v>
      </c>
      <c r="C26" t="str">
        <f>"0504862390"</f>
        <v>0504862390</v>
      </c>
      <c r="D26" t="s">
        <v>127</v>
      </c>
      <c r="E26" t="s">
        <v>128</v>
      </c>
      <c r="F26" t="s">
        <v>129</v>
      </c>
      <c r="G26" t="s">
        <v>130</v>
      </c>
      <c r="H26" s="1">
        <v>519.29999999999995</v>
      </c>
      <c r="I26" s="2">
        <v>43984.333333333336</v>
      </c>
      <c r="J26" s="2">
        <v>43984.833333333336</v>
      </c>
      <c r="K26" t="s">
        <v>131</v>
      </c>
    </row>
    <row r="27" spans="1:11" x14ac:dyDescent="0.25">
      <c r="A27" t="s">
        <v>11</v>
      </c>
      <c r="B27" t="s">
        <v>12</v>
      </c>
      <c r="C27" t="str">
        <f>"0500098000"</f>
        <v>0500098000</v>
      </c>
      <c r="D27" t="s">
        <v>132</v>
      </c>
      <c r="E27" t="s">
        <v>133</v>
      </c>
      <c r="F27" t="s">
        <v>134</v>
      </c>
      <c r="G27" t="s">
        <v>135</v>
      </c>
      <c r="H27" s="1">
        <v>525.58000000000004</v>
      </c>
      <c r="I27" s="2">
        <v>43984.333333333336</v>
      </c>
      <c r="J27" s="2">
        <v>43984.833333333336</v>
      </c>
      <c r="K27" t="s">
        <v>136</v>
      </c>
    </row>
    <row r="28" spans="1:11" x14ac:dyDescent="0.25">
      <c r="A28" t="s">
        <v>11</v>
      </c>
      <c r="B28" t="s">
        <v>12</v>
      </c>
      <c r="C28" t="str">
        <f>"0502742500"</f>
        <v>0502742500</v>
      </c>
      <c r="D28" t="s">
        <v>137</v>
      </c>
      <c r="E28" t="s">
        <v>138</v>
      </c>
      <c r="F28" t="s">
        <v>139</v>
      </c>
      <c r="G28" t="s">
        <v>140</v>
      </c>
      <c r="H28" s="1">
        <v>538.91999999999996</v>
      </c>
      <c r="I28" s="2">
        <v>43984.333333333336</v>
      </c>
      <c r="J28" s="2">
        <v>43984.833333333336</v>
      </c>
      <c r="K28" t="s">
        <v>141</v>
      </c>
    </row>
    <row r="29" spans="1:11" x14ac:dyDescent="0.25">
      <c r="A29" t="s">
        <v>11</v>
      </c>
      <c r="B29" t="s">
        <v>12</v>
      </c>
      <c r="C29" t="str">
        <f>"0500527344"</f>
        <v>0500527344</v>
      </c>
      <c r="D29" t="s">
        <v>142</v>
      </c>
      <c r="E29" t="s">
        <v>143</v>
      </c>
      <c r="F29" t="s">
        <v>144</v>
      </c>
      <c r="G29" t="s">
        <v>145</v>
      </c>
      <c r="H29" s="1">
        <v>539.22</v>
      </c>
      <c r="I29" s="2">
        <v>43984.333333333336</v>
      </c>
      <c r="J29" s="2">
        <v>43984.833333333336</v>
      </c>
      <c r="K29" t="s">
        <v>146</v>
      </c>
    </row>
    <row r="30" spans="1:11" x14ac:dyDescent="0.25">
      <c r="A30" t="s">
        <v>11</v>
      </c>
      <c r="B30" t="s">
        <v>12</v>
      </c>
      <c r="C30" t="str">
        <f>"0501090750B"</f>
        <v>0501090750B</v>
      </c>
      <c r="D30" t="s">
        <v>147</v>
      </c>
      <c r="E30" t="s">
        <v>148</v>
      </c>
      <c r="F30" t="s">
        <v>80</v>
      </c>
      <c r="G30" t="s">
        <v>149</v>
      </c>
      <c r="H30" s="1">
        <v>539.86</v>
      </c>
      <c r="I30" s="2">
        <v>43984.333333333336</v>
      </c>
      <c r="J30" s="2">
        <v>43984.833333333336</v>
      </c>
      <c r="K30" t="s">
        <v>150</v>
      </c>
    </row>
    <row r="31" spans="1:11" x14ac:dyDescent="0.25">
      <c r="A31" t="s">
        <v>11</v>
      </c>
      <c r="B31" t="s">
        <v>12</v>
      </c>
      <c r="C31" t="str">
        <f>"0503456501"</f>
        <v>0503456501</v>
      </c>
      <c r="D31" t="s">
        <v>151</v>
      </c>
      <c r="E31" t="s">
        <v>152</v>
      </c>
      <c r="F31" t="s">
        <v>153</v>
      </c>
      <c r="G31" t="s">
        <v>26</v>
      </c>
      <c r="H31" s="1">
        <v>541.85</v>
      </c>
      <c r="I31" s="2">
        <v>43984.333333333336</v>
      </c>
      <c r="J31" s="2">
        <v>43984.833333333336</v>
      </c>
      <c r="K31" t="s">
        <v>154</v>
      </c>
    </row>
    <row r="32" spans="1:11" x14ac:dyDescent="0.25">
      <c r="A32" t="s">
        <v>11</v>
      </c>
      <c r="B32" t="s">
        <v>12</v>
      </c>
      <c r="C32" t="str">
        <f>"0504562500"</f>
        <v>0504562500</v>
      </c>
      <c r="D32" t="s">
        <v>155</v>
      </c>
      <c r="E32" t="s">
        <v>156</v>
      </c>
      <c r="F32" t="s">
        <v>157</v>
      </c>
      <c r="G32" t="s">
        <v>158</v>
      </c>
      <c r="H32" s="1">
        <v>546.19000000000005</v>
      </c>
      <c r="I32" s="2">
        <v>43984.333333333336</v>
      </c>
      <c r="J32" s="2">
        <v>43984.833333333336</v>
      </c>
      <c r="K32" t="s">
        <v>159</v>
      </c>
    </row>
    <row r="33" spans="1:11" x14ac:dyDescent="0.25">
      <c r="A33" t="s">
        <v>11</v>
      </c>
      <c r="B33" t="s">
        <v>12</v>
      </c>
      <c r="C33" t="str">
        <f>"0505127905"</f>
        <v>0505127905</v>
      </c>
      <c r="D33" t="s">
        <v>160</v>
      </c>
      <c r="E33" t="s">
        <v>161</v>
      </c>
      <c r="F33" t="s">
        <v>162</v>
      </c>
      <c r="G33" t="s">
        <v>163</v>
      </c>
      <c r="H33" s="1">
        <v>580.54999999999995</v>
      </c>
      <c r="I33" s="2">
        <v>43984.333333333336</v>
      </c>
      <c r="J33" s="2">
        <v>43984.833333333336</v>
      </c>
      <c r="K33" t="s">
        <v>164</v>
      </c>
    </row>
    <row r="34" spans="1:11" x14ac:dyDescent="0.25">
      <c r="A34" t="s">
        <v>11</v>
      </c>
      <c r="B34" t="s">
        <v>12</v>
      </c>
      <c r="C34" t="str">
        <f>"0503462500"</f>
        <v>0503462500</v>
      </c>
      <c r="D34" t="s">
        <v>151</v>
      </c>
      <c r="E34" t="s">
        <v>165</v>
      </c>
      <c r="F34" t="s">
        <v>166</v>
      </c>
      <c r="G34" t="s">
        <v>26</v>
      </c>
      <c r="H34" s="1">
        <v>591.54999999999995</v>
      </c>
      <c r="I34" s="2">
        <v>43984.333333333336</v>
      </c>
      <c r="J34" s="2">
        <v>43984.833333333336</v>
      </c>
      <c r="K34" t="s">
        <v>167</v>
      </c>
    </row>
    <row r="35" spans="1:11" x14ac:dyDescent="0.25">
      <c r="A35" t="s">
        <v>11</v>
      </c>
      <c r="B35" t="s">
        <v>12</v>
      </c>
      <c r="C35" t="str">
        <f>"0501840000"</f>
        <v>0501840000</v>
      </c>
      <c r="D35" t="s">
        <v>168</v>
      </c>
      <c r="E35" t="s">
        <v>169</v>
      </c>
      <c r="F35" t="s">
        <v>170</v>
      </c>
      <c r="G35" t="s">
        <v>171</v>
      </c>
      <c r="H35" s="1">
        <v>592.76</v>
      </c>
      <c r="I35" s="2">
        <v>43984.333333333336</v>
      </c>
      <c r="J35" s="2">
        <v>43984.833333333336</v>
      </c>
      <c r="K35" t="s">
        <v>172</v>
      </c>
    </row>
    <row r="36" spans="1:11" x14ac:dyDescent="0.25">
      <c r="A36" t="s">
        <v>11</v>
      </c>
      <c r="B36" t="s">
        <v>12</v>
      </c>
      <c r="C36" t="str">
        <f>"0503590500"</f>
        <v>0503590500</v>
      </c>
      <c r="D36" t="s">
        <v>173</v>
      </c>
      <c r="E36" t="s">
        <v>174</v>
      </c>
      <c r="F36" t="s">
        <v>175</v>
      </c>
      <c r="G36" t="s">
        <v>176</v>
      </c>
      <c r="H36" s="1">
        <v>607.66</v>
      </c>
      <c r="I36" s="2">
        <v>43984.333333333336</v>
      </c>
      <c r="J36" s="2">
        <v>43984.833333333336</v>
      </c>
      <c r="K36" t="s">
        <v>177</v>
      </c>
    </row>
    <row r="37" spans="1:11" x14ac:dyDescent="0.25">
      <c r="A37" t="s">
        <v>11</v>
      </c>
      <c r="B37" t="s">
        <v>12</v>
      </c>
      <c r="C37" t="str">
        <f>"0500374500"</f>
        <v>0500374500</v>
      </c>
      <c r="D37" t="s">
        <v>178</v>
      </c>
      <c r="E37" t="s">
        <v>179</v>
      </c>
      <c r="F37" t="s">
        <v>25</v>
      </c>
      <c r="G37" t="s">
        <v>26</v>
      </c>
      <c r="H37" s="1">
        <v>608.45000000000005</v>
      </c>
      <c r="I37" s="2">
        <v>43984.333333333336</v>
      </c>
      <c r="J37" s="2">
        <v>43984.833333333336</v>
      </c>
      <c r="K37" t="s">
        <v>180</v>
      </c>
    </row>
    <row r="38" spans="1:11" x14ac:dyDescent="0.25">
      <c r="A38" t="s">
        <v>11</v>
      </c>
      <c r="B38" t="s">
        <v>12</v>
      </c>
      <c r="C38" t="str">
        <f>"0503902500"</f>
        <v>0503902500</v>
      </c>
      <c r="D38" t="s">
        <v>181</v>
      </c>
      <c r="E38" t="s">
        <v>182</v>
      </c>
      <c r="F38" t="s">
        <v>183</v>
      </c>
      <c r="G38" t="s">
        <v>184</v>
      </c>
      <c r="H38" s="1">
        <v>666.71</v>
      </c>
      <c r="I38" s="2">
        <v>43984.333333333336</v>
      </c>
      <c r="J38" s="2">
        <v>43984.833333333336</v>
      </c>
      <c r="K38" t="s">
        <v>185</v>
      </c>
    </row>
    <row r="39" spans="1:11" x14ac:dyDescent="0.25">
      <c r="A39" t="s">
        <v>11</v>
      </c>
      <c r="B39" t="s">
        <v>12</v>
      </c>
      <c r="C39" t="str">
        <f>"0503273000"</f>
        <v>0503273000</v>
      </c>
      <c r="D39" t="s">
        <v>186</v>
      </c>
      <c r="E39" t="s">
        <v>187</v>
      </c>
      <c r="F39" t="s">
        <v>100</v>
      </c>
      <c r="G39" t="s">
        <v>101</v>
      </c>
      <c r="H39" s="1">
        <v>668.84</v>
      </c>
      <c r="I39" s="2">
        <v>43984.333333333336</v>
      </c>
      <c r="J39" s="2">
        <v>43984.833333333336</v>
      </c>
      <c r="K39" t="s">
        <v>188</v>
      </c>
    </row>
    <row r="40" spans="1:11" x14ac:dyDescent="0.25">
      <c r="A40" t="s">
        <v>11</v>
      </c>
      <c r="B40" t="s">
        <v>12</v>
      </c>
      <c r="C40" t="str">
        <f>"0501708000"</f>
        <v>0501708000</v>
      </c>
      <c r="D40" t="s">
        <v>189</v>
      </c>
      <c r="E40" t="s">
        <v>190</v>
      </c>
      <c r="F40" t="s">
        <v>80</v>
      </c>
      <c r="G40" t="s">
        <v>191</v>
      </c>
      <c r="H40" s="1">
        <v>701.33</v>
      </c>
      <c r="I40" s="2">
        <v>43984.333333333336</v>
      </c>
      <c r="J40" s="2">
        <v>43984.833333333336</v>
      </c>
      <c r="K40" t="s">
        <v>192</v>
      </c>
    </row>
    <row r="41" spans="1:11" x14ac:dyDescent="0.25">
      <c r="A41" t="s">
        <v>11</v>
      </c>
      <c r="B41" t="s">
        <v>12</v>
      </c>
      <c r="C41" t="str">
        <f>"0504559000"</f>
        <v>0504559000</v>
      </c>
      <c r="D41" t="s">
        <v>193</v>
      </c>
      <c r="E41" t="s">
        <v>194</v>
      </c>
      <c r="F41" t="s">
        <v>195</v>
      </c>
      <c r="G41" t="s">
        <v>196</v>
      </c>
      <c r="H41" s="1">
        <v>712.21</v>
      </c>
      <c r="I41" s="2">
        <v>43984.333333333336</v>
      </c>
      <c r="J41" s="2">
        <v>43984.833333333336</v>
      </c>
      <c r="K41" t="s">
        <v>197</v>
      </c>
    </row>
    <row r="42" spans="1:11" x14ac:dyDescent="0.25">
      <c r="A42" t="s">
        <v>11</v>
      </c>
      <c r="B42" t="s">
        <v>12</v>
      </c>
      <c r="C42" t="str">
        <f>"0502411502"</f>
        <v>0502411502</v>
      </c>
      <c r="D42" t="s">
        <v>198</v>
      </c>
      <c r="E42" t="s">
        <v>199</v>
      </c>
      <c r="F42" t="s">
        <v>80</v>
      </c>
      <c r="G42" t="s">
        <v>200</v>
      </c>
      <c r="H42" s="1">
        <v>739.11</v>
      </c>
      <c r="I42" s="2">
        <v>43984.333333333336</v>
      </c>
      <c r="J42" s="2">
        <v>43984.833333333336</v>
      </c>
      <c r="K42" t="s">
        <v>201</v>
      </c>
    </row>
    <row r="43" spans="1:11" x14ac:dyDescent="0.25">
      <c r="A43" t="s">
        <v>11</v>
      </c>
      <c r="B43" t="s">
        <v>12</v>
      </c>
      <c r="C43" t="str">
        <f>"0503463501"</f>
        <v>0503463501</v>
      </c>
      <c r="D43" t="s">
        <v>202</v>
      </c>
      <c r="E43" t="s">
        <v>203</v>
      </c>
      <c r="F43" t="s">
        <v>153</v>
      </c>
      <c r="G43" t="s">
        <v>26</v>
      </c>
      <c r="H43" s="1">
        <v>741.33</v>
      </c>
      <c r="I43" s="2">
        <v>43984.333333333336</v>
      </c>
      <c r="J43" s="2">
        <v>43984.833333333336</v>
      </c>
      <c r="K43" t="s">
        <v>204</v>
      </c>
    </row>
    <row r="44" spans="1:11" x14ac:dyDescent="0.25">
      <c r="A44" t="s">
        <v>11</v>
      </c>
      <c r="B44" t="s">
        <v>12</v>
      </c>
      <c r="C44" t="str">
        <f>"0502977480"</f>
        <v>0502977480</v>
      </c>
      <c r="D44" t="s">
        <v>205</v>
      </c>
      <c r="E44" t="s">
        <v>206</v>
      </c>
      <c r="F44" t="s">
        <v>100</v>
      </c>
      <c r="G44" t="s">
        <v>101</v>
      </c>
      <c r="H44" s="1">
        <v>787.88</v>
      </c>
      <c r="I44" s="2">
        <v>43984.333333333336</v>
      </c>
      <c r="J44" s="2">
        <v>43984.833333333336</v>
      </c>
      <c r="K44" t="s">
        <v>207</v>
      </c>
    </row>
    <row r="45" spans="1:11" x14ac:dyDescent="0.25">
      <c r="A45" t="s">
        <v>11</v>
      </c>
      <c r="B45" t="s">
        <v>12</v>
      </c>
      <c r="C45" t="str">
        <f>"0505473500"</f>
        <v>0505473500</v>
      </c>
      <c r="D45" t="s">
        <v>208</v>
      </c>
      <c r="E45" t="s">
        <v>209</v>
      </c>
      <c r="F45" t="s">
        <v>210</v>
      </c>
      <c r="G45" t="s">
        <v>211</v>
      </c>
      <c r="H45" s="1">
        <v>798.19</v>
      </c>
      <c r="I45" s="2">
        <v>43984.333333333336</v>
      </c>
      <c r="J45" s="2">
        <v>43984.833333333336</v>
      </c>
      <c r="K45" t="s">
        <v>212</v>
      </c>
    </row>
    <row r="46" spans="1:11" x14ac:dyDescent="0.25">
      <c r="A46" t="s">
        <v>11</v>
      </c>
      <c r="B46" t="s">
        <v>12</v>
      </c>
      <c r="C46" t="str">
        <f>"0403594990DF"</f>
        <v>0403594990DF</v>
      </c>
      <c r="D46" t="s">
        <v>213</v>
      </c>
      <c r="E46" t="s">
        <v>214</v>
      </c>
      <c r="F46" t="s">
        <v>215</v>
      </c>
      <c r="G46" t="s">
        <v>216</v>
      </c>
      <c r="H46" s="1">
        <v>811.33</v>
      </c>
      <c r="I46" s="2">
        <v>43984.333333333336</v>
      </c>
      <c r="J46" s="2">
        <v>43984.833333333336</v>
      </c>
      <c r="K46" t="s">
        <v>217</v>
      </c>
    </row>
    <row r="47" spans="1:11" x14ac:dyDescent="0.25">
      <c r="A47" t="s">
        <v>11</v>
      </c>
      <c r="B47" t="s">
        <v>12</v>
      </c>
      <c r="C47" t="str">
        <f>"0504816500"</f>
        <v>0504816500</v>
      </c>
      <c r="D47" t="s">
        <v>218</v>
      </c>
      <c r="E47" t="s">
        <v>219</v>
      </c>
      <c r="F47" t="s">
        <v>220</v>
      </c>
      <c r="G47" t="s">
        <v>221</v>
      </c>
      <c r="H47" s="1">
        <v>813.31</v>
      </c>
      <c r="I47" s="2">
        <v>43984.333333333336</v>
      </c>
      <c r="J47" s="2">
        <v>43984.833333333336</v>
      </c>
      <c r="K47" t="s">
        <v>222</v>
      </c>
    </row>
    <row r="48" spans="1:11" x14ac:dyDescent="0.25">
      <c r="A48" t="s">
        <v>11</v>
      </c>
      <c r="B48" t="s">
        <v>12</v>
      </c>
      <c r="C48" t="str">
        <f>"0500270500"</f>
        <v>0500270500</v>
      </c>
      <c r="D48" t="s">
        <v>223</v>
      </c>
      <c r="E48" t="s">
        <v>224</v>
      </c>
      <c r="F48" t="s">
        <v>225</v>
      </c>
      <c r="G48" t="s">
        <v>226</v>
      </c>
      <c r="H48" s="1">
        <v>826.29</v>
      </c>
      <c r="I48" s="2">
        <v>43984.333333333336</v>
      </c>
      <c r="J48" s="2">
        <v>43984.833333333336</v>
      </c>
      <c r="K48" t="s">
        <v>227</v>
      </c>
    </row>
    <row r="49" spans="1:11" x14ac:dyDescent="0.25">
      <c r="A49" t="s">
        <v>11</v>
      </c>
      <c r="B49" t="s">
        <v>12</v>
      </c>
      <c r="C49" t="str">
        <f>"0505265000"</f>
        <v>0505265000</v>
      </c>
      <c r="D49" t="s">
        <v>228</v>
      </c>
      <c r="E49" t="s">
        <v>229</v>
      </c>
      <c r="F49" t="s">
        <v>80</v>
      </c>
      <c r="G49" t="s">
        <v>191</v>
      </c>
      <c r="H49" s="1">
        <v>844.45</v>
      </c>
      <c r="I49" s="2">
        <v>43984.333333333336</v>
      </c>
      <c r="J49" s="2">
        <v>43984.833333333336</v>
      </c>
      <c r="K49" t="s">
        <v>230</v>
      </c>
    </row>
    <row r="50" spans="1:11" x14ac:dyDescent="0.25">
      <c r="A50" t="s">
        <v>11</v>
      </c>
      <c r="B50" t="s">
        <v>12</v>
      </c>
      <c r="C50" t="str">
        <f>"0503454500"</f>
        <v>0503454500</v>
      </c>
      <c r="D50" t="s">
        <v>231</v>
      </c>
      <c r="E50" t="s">
        <v>232</v>
      </c>
      <c r="F50" t="s">
        <v>25</v>
      </c>
      <c r="G50" t="s">
        <v>26</v>
      </c>
      <c r="H50" s="1">
        <v>850.35</v>
      </c>
      <c r="I50" s="2">
        <v>43984.333333333336</v>
      </c>
      <c r="J50" s="2">
        <v>43984.833333333336</v>
      </c>
      <c r="K50" t="s">
        <v>233</v>
      </c>
    </row>
    <row r="51" spans="1:11" x14ac:dyDescent="0.25">
      <c r="A51" t="s">
        <v>11</v>
      </c>
      <c r="B51" t="s">
        <v>12</v>
      </c>
      <c r="C51" t="str">
        <f>"0500134000"</f>
        <v>0500134000</v>
      </c>
      <c r="D51" t="s">
        <v>234</v>
      </c>
      <c r="E51" t="s">
        <v>235</v>
      </c>
      <c r="F51" t="s">
        <v>236</v>
      </c>
      <c r="G51" t="s">
        <v>237</v>
      </c>
      <c r="H51" s="1">
        <v>898.28</v>
      </c>
      <c r="I51" s="2">
        <v>43984.333333333336</v>
      </c>
      <c r="J51" s="2">
        <v>43984.833333333336</v>
      </c>
      <c r="K51" t="s">
        <v>238</v>
      </c>
    </row>
    <row r="52" spans="1:11" x14ac:dyDescent="0.25">
      <c r="A52" t="s">
        <v>11</v>
      </c>
      <c r="B52" t="s">
        <v>12</v>
      </c>
      <c r="C52" t="str">
        <f>"0501692000"</f>
        <v>0501692000</v>
      </c>
      <c r="D52" t="s">
        <v>239</v>
      </c>
      <c r="E52" t="s">
        <v>240</v>
      </c>
      <c r="F52" t="s">
        <v>241</v>
      </c>
      <c r="G52" t="s">
        <v>242</v>
      </c>
      <c r="H52" s="1">
        <v>952.43</v>
      </c>
      <c r="I52" s="2">
        <v>43984.333333333336</v>
      </c>
      <c r="J52" s="2">
        <v>43984.833333333336</v>
      </c>
      <c r="K52" t="s">
        <v>243</v>
      </c>
    </row>
    <row r="53" spans="1:11" x14ac:dyDescent="0.25">
      <c r="A53" t="s">
        <v>11</v>
      </c>
      <c r="B53" t="s">
        <v>12</v>
      </c>
      <c r="C53" t="str">
        <f>"0501880500"</f>
        <v>0501880500</v>
      </c>
      <c r="D53" t="s">
        <v>244</v>
      </c>
      <c r="E53" t="s">
        <v>245</v>
      </c>
      <c r="F53" t="s">
        <v>246</v>
      </c>
      <c r="G53" t="s">
        <v>247</v>
      </c>
      <c r="H53" s="1">
        <v>965.63</v>
      </c>
      <c r="I53" s="2">
        <v>43984.333333333336</v>
      </c>
      <c r="J53" s="2">
        <v>43984.833333333336</v>
      </c>
      <c r="K53" t="s">
        <v>248</v>
      </c>
    </row>
    <row r="54" spans="1:11" x14ac:dyDescent="0.25">
      <c r="A54" t="s">
        <v>11</v>
      </c>
      <c r="B54" t="s">
        <v>12</v>
      </c>
      <c r="C54" t="str">
        <f>"0504899000"</f>
        <v>0504899000</v>
      </c>
      <c r="D54" t="s">
        <v>249</v>
      </c>
      <c r="E54" t="s">
        <v>250</v>
      </c>
      <c r="F54" t="s">
        <v>251</v>
      </c>
      <c r="G54" t="s">
        <v>252</v>
      </c>
      <c r="H54" s="1">
        <v>1006.76</v>
      </c>
      <c r="I54" s="2">
        <v>43984.333333333336</v>
      </c>
      <c r="J54" s="2">
        <v>43984.833333333336</v>
      </c>
      <c r="K54" t="s">
        <v>253</v>
      </c>
    </row>
    <row r="55" spans="1:11" x14ac:dyDescent="0.25">
      <c r="A55" t="s">
        <v>11</v>
      </c>
      <c r="B55" t="s">
        <v>12</v>
      </c>
      <c r="C55" t="str">
        <f>"0500951252"</f>
        <v>0500951252</v>
      </c>
      <c r="D55" t="s">
        <v>254</v>
      </c>
      <c r="E55" t="s">
        <v>255</v>
      </c>
      <c r="F55" t="s">
        <v>256</v>
      </c>
      <c r="G55" t="s">
        <v>257</v>
      </c>
      <c r="H55" s="1">
        <v>1234.8900000000001</v>
      </c>
      <c r="I55" s="2">
        <v>43984.333333333336</v>
      </c>
      <c r="J55" s="2">
        <v>43984.833333333336</v>
      </c>
      <c r="K55" t="s">
        <v>258</v>
      </c>
    </row>
    <row r="56" spans="1:11" x14ac:dyDescent="0.25">
      <c r="A56" t="s">
        <v>11</v>
      </c>
      <c r="B56" t="s">
        <v>12</v>
      </c>
      <c r="C56" t="str">
        <f>"0504486001"</f>
        <v>0504486001</v>
      </c>
      <c r="D56" t="s">
        <v>259</v>
      </c>
      <c r="E56" t="s">
        <v>260</v>
      </c>
      <c r="F56" t="s">
        <v>261</v>
      </c>
      <c r="G56" t="s">
        <v>262</v>
      </c>
      <c r="H56" s="1">
        <v>1265.06</v>
      </c>
      <c r="I56" s="2">
        <v>43984.333333333336</v>
      </c>
      <c r="J56" s="2">
        <v>43984.833333333336</v>
      </c>
      <c r="K56" t="s">
        <v>263</v>
      </c>
    </row>
    <row r="57" spans="1:11" x14ac:dyDescent="0.25">
      <c r="A57" t="s">
        <v>11</v>
      </c>
      <c r="B57" t="s">
        <v>12</v>
      </c>
      <c r="C57" t="str">
        <f>"0503998490"</f>
        <v>0503998490</v>
      </c>
      <c r="D57" t="s">
        <v>264</v>
      </c>
      <c r="E57" t="s">
        <v>265</v>
      </c>
      <c r="F57" t="s">
        <v>266</v>
      </c>
      <c r="G57" t="s">
        <v>267</v>
      </c>
      <c r="H57" s="1">
        <v>4416.7299999999996</v>
      </c>
      <c r="I57" s="2">
        <v>43984.333333333336</v>
      </c>
      <c r="J57" s="2">
        <v>43984.833333333336</v>
      </c>
      <c r="K57" t="s">
        <v>268</v>
      </c>
    </row>
    <row r="58" spans="1:11" x14ac:dyDescent="0.25">
      <c r="A58" t="s">
        <v>11</v>
      </c>
      <c r="B58" t="s">
        <v>12</v>
      </c>
      <c r="C58" t="str">
        <f>"0502928500"</f>
        <v>0502928500</v>
      </c>
      <c r="D58" t="s">
        <v>269</v>
      </c>
      <c r="E58" t="s">
        <v>270</v>
      </c>
      <c r="F58" t="s">
        <v>271</v>
      </c>
      <c r="G58" t="s">
        <v>272</v>
      </c>
      <c r="H58" s="1">
        <v>5638.2</v>
      </c>
      <c r="I58" s="2">
        <v>43984.333333333336</v>
      </c>
      <c r="J58" s="2">
        <v>43984.833333333336</v>
      </c>
      <c r="K58" t="s">
        <v>273</v>
      </c>
    </row>
    <row r="59" spans="1:11" x14ac:dyDescent="0.25">
      <c r="A59" t="s">
        <v>11</v>
      </c>
      <c r="B59" t="s">
        <v>12</v>
      </c>
      <c r="C59" t="str">
        <f>"0504586550E"</f>
        <v>0504586550E</v>
      </c>
      <c r="D59" t="s">
        <v>274</v>
      </c>
      <c r="E59" t="s">
        <v>275</v>
      </c>
      <c r="F59" t="s">
        <v>276</v>
      </c>
      <c r="G59" t="s">
        <v>277</v>
      </c>
      <c r="H59" s="1">
        <v>375.8</v>
      </c>
      <c r="I59" s="2">
        <v>43984.333333333336</v>
      </c>
      <c r="J59" s="2">
        <v>43984.833333333336</v>
      </c>
      <c r="K59" t="s">
        <v>278</v>
      </c>
    </row>
    <row r="60" spans="1:11" x14ac:dyDescent="0.25">
      <c r="A60" t="s">
        <v>11</v>
      </c>
      <c r="B60" t="s">
        <v>12</v>
      </c>
      <c r="C60" t="str">
        <f>"0504867500A"</f>
        <v>0504867500A</v>
      </c>
      <c r="D60" t="s">
        <v>279</v>
      </c>
      <c r="E60" t="s">
        <v>280</v>
      </c>
      <c r="F60" t="s">
        <v>281</v>
      </c>
      <c r="G60" t="s">
        <v>282</v>
      </c>
      <c r="H60" s="1">
        <v>378.16</v>
      </c>
      <c r="I60" s="2">
        <v>43984.333333333336</v>
      </c>
      <c r="J60" s="2">
        <v>43984.833333333336</v>
      </c>
      <c r="K60" t="s">
        <v>283</v>
      </c>
    </row>
    <row r="61" spans="1:11" x14ac:dyDescent="0.25">
      <c r="A61" t="s">
        <v>11</v>
      </c>
      <c r="B61" t="s">
        <v>284</v>
      </c>
      <c r="C61" t="str">
        <f>"2019-40997"</f>
        <v>2019-40997</v>
      </c>
      <c r="D61" t="s">
        <v>285</v>
      </c>
      <c r="E61" t="s">
        <v>286</v>
      </c>
      <c r="F61" t="s">
        <v>287</v>
      </c>
      <c r="G61" t="s">
        <v>288</v>
      </c>
      <c r="H61" s="1">
        <v>379.98</v>
      </c>
      <c r="I61" s="2">
        <v>43984.333333333336</v>
      </c>
      <c r="J61" s="2">
        <v>43984.833333333336</v>
      </c>
      <c r="K61" t="s">
        <v>289</v>
      </c>
    </row>
    <row r="62" spans="1:11" x14ac:dyDescent="0.25">
      <c r="A62" t="s">
        <v>11</v>
      </c>
      <c r="B62" t="s">
        <v>284</v>
      </c>
      <c r="C62" t="str">
        <f>"2019-49723"</f>
        <v>2019-49723</v>
      </c>
      <c r="D62" t="s">
        <v>290</v>
      </c>
      <c r="E62" t="s">
        <v>291</v>
      </c>
      <c r="F62" t="s">
        <v>292</v>
      </c>
      <c r="G62" t="s">
        <v>293</v>
      </c>
      <c r="H62" s="1">
        <v>380.78</v>
      </c>
      <c r="I62" s="2">
        <v>43984.333333333336</v>
      </c>
      <c r="J62" s="2">
        <v>43984.833333333336</v>
      </c>
      <c r="K62" t="s">
        <v>294</v>
      </c>
    </row>
    <row r="63" spans="1:11" x14ac:dyDescent="0.25">
      <c r="A63" t="s">
        <v>11</v>
      </c>
      <c r="B63" t="s">
        <v>12</v>
      </c>
      <c r="C63" t="str">
        <f>"0501911520"</f>
        <v>0501911520</v>
      </c>
      <c r="D63" t="s">
        <v>295</v>
      </c>
      <c r="E63" t="s">
        <v>296</v>
      </c>
      <c r="F63" t="s">
        <v>297</v>
      </c>
      <c r="G63" t="s">
        <v>298</v>
      </c>
      <c r="H63" s="1">
        <v>381.03</v>
      </c>
      <c r="I63" s="2">
        <v>43984.333333333336</v>
      </c>
      <c r="J63" s="2">
        <v>43984.833333333336</v>
      </c>
      <c r="K63" t="s">
        <v>299</v>
      </c>
    </row>
    <row r="64" spans="1:11" x14ac:dyDescent="0.25">
      <c r="A64" t="s">
        <v>11</v>
      </c>
      <c r="B64" t="s">
        <v>284</v>
      </c>
      <c r="C64" t="str">
        <f>"2019-87245"</f>
        <v>2019-87245</v>
      </c>
      <c r="D64" t="s">
        <v>300</v>
      </c>
      <c r="E64" t="s">
        <v>301</v>
      </c>
      <c r="F64" t="s">
        <v>302</v>
      </c>
      <c r="G64" t="s">
        <v>303</v>
      </c>
      <c r="H64" s="1">
        <v>382.13</v>
      </c>
      <c r="I64" s="2">
        <v>43984.333333333336</v>
      </c>
      <c r="J64" s="2">
        <v>43984.833333333336</v>
      </c>
      <c r="K64" t="s">
        <v>304</v>
      </c>
    </row>
    <row r="65" spans="1:11" x14ac:dyDescent="0.25">
      <c r="A65" t="s">
        <v>11</v>
      </c>
      <c r="B65" t="s">
        <v>284</v>
      </c>
      <c r="C65" t="str">
        <f>"2019-72504"</f>
        <v>2019-72504</v>
      </c>
      <c r="D65" t="s">
        <v>305</v>
      </c>
      <c r="E65" t="s">
        <v>306</v>
      </c>
      <c r="F65" t="s">
        <v>302</v>
      </c>
      <c r="G65" t="s">
        <v>303</v>
      </c>
      <c r="H65" s="1">
        <v>382.13</v>
      </c>
      <c r="I65" s="2">
        <v>43984.333333333336</v>
      </c>
      <c r="J65" s="2">
        <v>43984.833333333336</v>
      </c>
      <c r="K65" t="s">
        <v>307</v>
      </c>
    </row>
    <row r="66" spans="1:11" x14ac:dyDescent="0.25">
      <c r="A66" t="s">
        <v>11</v>
      </c>
      <c r="B66" t="s">
        <v>284</v>
      </c>
      <c r="C66" t="str">
        <f>"2019-56744"</f>
        <v>2019-56744</v>
      </c>
      <c r="D66" t="s">
        <v>308</v>
      </c>
      <c r="E66" t="s">
        <v>309</v>
      </c>
      <c r="F66" t="s">
        <v>302</v>
      </c>
      <c r="G66" t="s">
        <v>303</v>
      </c>
      <c r="H66" s="1">
        <v>382.13</v>
      </c>
      <c r="I66" s="2">
        <v>43984.333333333336</v>
      </c>
      <c r="J66" s="2">
        <v>43984.833333333336</v>
      </c>
      <c r="K66" t="s">
        <v>310</v>
      </c>
    </row>
    <row r="67" spans="1:11" x14ac:dyDescent="0.25">
      <c r="A67" t="s">
        <v>11</v>
      </c>
      <c r="B67" t="s">
        <v>284</v>
      </c>
      <c r="C67" t="str">
        <f>"2019-24457"</f>
        <v>2019-24457</v>
      </c>
      <c r="D67" t="s">
        <v>305</v>
      </c>
      <c r="E67" t="s">
        <v>311</v>
      </c>
      <c r="F67" t="s">
        <v>302</v>
      </c>
      <c r="G67" t="s">
        <v>303</v>
      </c>
      <c r="H67" s="1">
        <v>382.13</v>
      </c>
      <c r="I67" s="2">
        <v>43984.333333333336</v>
      </c>
      <c r="J67" s="2">
        <v>43984.833333333336</v>
      </c>
      <c r="K67" t="s">
        <v>312</v>
      </c>
    </row>
    <row r="68" spans="1:11" x14ac:dyDescent="0.25">
      <c r="A68" t="s">
        <v>11</v>
      </c>
      <c r="B68" t="s">
        <v>284</v>
      </c>
      <c r="C68" t="str">
        <f>"2019-21897"</f>
        <v>2019-21897</v>
      </c>
      <c r="D68" t="s">
        <v>313</v>
      </c>
      <c r="E68" t="s">
        <v>314</v>
      </c>
      <c r="F68" t="s">
        <v>315</v>
      </c>
      <c r="G68" t="s">
        <v>316</v>
      </c>
      <c r="H68" s="1">
        <v>382.68</v>
      </c>
      <c r="I68" s="2">
        <v>43984.333333333336</v>
      </c>
      <c r="J68" s="2">
        <v>43984.833333333336</v>
      </c>
      <c r="K68" t="s">
        <v>317</v>
      </c>
    </row>
    <row r="69" spans="1:11" x14ac:dyDescent="0.25">
      <c r="A69" t="s">
        <v>11</v>
      </c>
      <c r="B69" t="s">
        <v>12</v>
      </c>
      <c r="C69" t="str">
        <f>"0502931500B"</f>
        <v>0502931500B</v>
      </c>
      <c r="D69" t="s">
        <v>318</v>
      </c>
      <c r="E69" t="s">
        <v>319</v>
      </c>
      <c r="F69" t="s">
        <v>320</v>
      </c>
      <c r="G69" t="s">
        <v>321</v>
      </c>
      <c r="H69" s="1">
        <v>383.98</v>
      </c>
      <c r="I69" s="2">
        <v>43984.333333333336</v>
      </c>
      <c r="J69" s="2">
        <v>43984.833333333336</v>
      </c>
      <c r="K69" t="s">
        <v>322</v>
      </c>
    </row>
    <row r="70" spans="1:11" x14ac:dyDescent="0.25">
      <c r="A70" t="s">
        <v>11</v>
      </c>
      <c r="B70" t="s">
        <v>12</v>
      </c>
      <c r="C70" t="str">
        <f>"0500852500A"</f>
        <v>0500852500A</v>
      </c>
      <c r="D70" t="s">
        <v>323</v>
      </c>
      <c r="E70" t="s">
        <v>324</v>
      </c>
      <c r="F70" t="s">
        <v>325</v>
      </c>
      <c r="G70" t="s">
        <v>326</v>
      </c>
      <c r="H70" s="1">
        <v>384.53</v>
      </c>
      <c r="I70" s="2">
        <v>43984.333333333336</v>
      </c>
      <c r="J70" s="2">
        <v>43984.833333333336</v>
      </c>
      <c r="K70" t="s">
        <v>327</v>
      </c>
    </row>
    <row r="71" spans="1:11" x14ac:dyDescent="0.25">
      <c r="A71" t="s">
        <v>11</v>
      </c>
      <c r="B71" t="s">
        <v>284</v>
      </c>
      <c r="C71" t="str">
        <f>"2019-66774"</f>
        <v>2019-66774</v>
      </c>
      <c r="D71" t="s">
        <v>308</v>
      </c>
      <c r="E71" t="s">
        <v>328</v>
      </c>
      <c r="F71" t="s">
        <v>302</v>
      </c>
      <c r="G71" t="s">
        <v>303</v>
      </c>
      <c r="H71" s="1">
        <v>384.83</v>
      </c>
      <c r="I71" s="2">
        <v>43984.333333333336</v>
      </c>
      <c r="J71" s="2">
        <v>43984.833333333336</v>
      </c>
      <c r="K71" t="s">
        <v>329</v>
      </c>
    </row>
    <row r="72" spans="1:11" x14ac:dyDescent="0.25">
      <c r="A72" t="s">
        <v>11</v>
      </c>
      <c r="B72" t="s">
        <v>12</v>
      </c>
      <c r="C72" t="str">
        <f>"0502136000"</f>
        <v>0502136000</v>
      </c>
      <c r="D72" t="s">
        <v>330</v>
      </c>
      <c r="E72" t="s">
        <v>331</v>
      </c>
      <c r="F72" t="s">
        <v>332</v>
      </c>
      <c r="G72" t="s">
        <v>333</v>
      </c>
      <c r="H72" s="1">
        <v>385.27</v>
      </c>
      <c r="I72" s="2">
        <v>43984.333333333336</v>
      </c>
      <c r="J72" s="2">
        <v>43984.833333333336</v>
      </c>
      <c r="K72" t="s">
        <v>334</v>
      </c>
    </row>
    <row r="73" spans="1:11" x14ac:dyDescent="0.25">
      <c r="A73" t="s">
        <v>11</v>
      </c>
      <c r="B73" t="s">
        <v>284</v>
      </c>
      <c r="C73" t="str">
        <f>"2019-59732"</f>
        <v>2019-59732</v>
      </c>
      <c r="D73" t="s">
        <v>335</v>
      </c>
      <c r="E73" t="s">
        <v>336</v>
      </c>
      <c r="F73" t="s">
        <v>287</v>
      </c>
      <c r="G73" t="s">
        <v>288</v>
      </c>
      <c r="H73" s="1">
        <v>385.34</v>
      </c>
      <c r="I73" s="2">
        <v>43984.333333333336</v>
      </c>
      <c r="J73" s="2">
        <v>43984.833333333336</v>
      </c>
      <c r="K73" t="s">
        <v>337</v>
      </c>
    </row>
    <row r="74" spans="1:11" x14ac:dyDescent="0.25">
      <c r="A74" t="s">
        <v>11</v>
      </c>
      <c r="B74" t="s">
        <v>284</v>
      </c>
      <c r="C74" t="str">
        <f>"2019-39247"</f>
        <v>2019-39247</v>
      </c>
      <c r="D74" t="s">
        <v>338</v>
      </c>
      <c r="E74" t="s">
        <v>339</v>
      </c>
      <c r="F74" t="s">
        <v>340</v>
      </c>
      <c r="G74" t="s">
        <v>341</v>
      </c>
      <c r="H74" s="1">
        <v>385.91</v>
      </c>
      <c r="I74" s="2">
        <v>43984.333333333336</v>
      </c>
      <c r="J74" s="2">
        <v>43984.833333333336</v>
      </c>
      <c r="K74" t="s">
        <v>342</v>
      </c>
    </row>
    <row r="75" spans="1:11" x14ac:dyDescent="0.25">
      <c r="A75" t="s">
        <v>11</v>
      </c>
      <c r="B75" t="s">
        <v>284</v>
      </c>
      <c r="C75" t="str">
        <f>"2019-66704"</f>
        <v>2019-66704</v>
      </c>
      <c r="D75" t="s">
        <v>343</v>
      </c>
      <c r="E75" t="s">
        <v>280</v>
      </c>
      <c r="F75" t="s">
        <v>281</v>
      </c>
      <c r="G75" t="s">
        <v>282</v>
      </c>
      <c r="H75" s="1">
        <v>386.89</v>
      </c>
      <c r="I75" s="2">
        <v>43984.333333333336</v>
      </c>
      <c r="J75" s="2">
        <v>43984.833333333336</v>
      </c>
      <c r="K75" t="s">
        <v>344</v>
      </c>
    </row>
    <row r="76" spans="1:11" x14ac:dyDescent="0.25">
      <c r="A76" t="s">
        <v>11</v>
      </c>
      <c r="B76" t="s">
        <v>284</v>
      </c>
      <c r="C76" t="str">
        <f>"2019-30754"</f>
        <v>2019-30754</v>
      </c>
      <c r="D76" t="s">
        <v>345</v>
      </c>
      <c r="E76" t="s">
        <v>346</v>
      </c>
      <c r="F76" t="s">
        <v>347</v>
      </c>
      <c r="G76" t="s">
        <v>348</v>
      </c>
      <c r="H76" s="1">
        <v>387.09</v>
      </c>
      <c r="I76" s="2">
        <v>43984.333333333336</v>
      </c>
      <c r="J76" s="2">
        <v>43984.833333333336</v>
      </c>
      <c r="K76" t="s">
        <v>349</v>
      </c>
    </row>
    <row r="77" spans="1:11" x14ac:dyDescent="0.25">
      <c r="A77" t="s">
        <v>11</v>
      </c>
      <c r="B77" t="s">
        <v>284</v>
      </c>
      <c r="C77" t="str">
        <f>"2019-44156"</f>
        <v>2019-44156</v>
      </c>
      <c r="D77" t="s">
        <v>350</v>
      </c>
      <c r="E77" t="s">
        <v>351</v>
      </c>
      <c r="F77" t="s">
        <v>352</v>
      </c>
      <c r="G77" t="s">
        <v>353</v>
      </c>
      <c r="H77" s="1">
        <v>387.34</v>
      </c>
      <c r="I77" s="2">
        <v>43984.333333333336</v>
      </c>
      <c r="J77" s="2">
        <v>43984.833333333336</v>
      </c>
      <c r="K77" t="s">
        <v>354</v>
      </c>
    </row>
    <row r="78" spans="1:11" x14ac:dyDescent="0.25">
      <c r="A78" t="s">
        <v>11</v>
      </c>
      <c r="B78" t="s">
        <v>12</v>
      </c>
      <c r="C78" t="str">
        <f>"7506040252"</f>
        <v>7506040252</v>
      </c>
      <c r="D78" t="s">
        <v>355</v>
      </c>
      <c r="E78" t="s">
        <v>356</v>
      </c>
      <c r="F78" t="s">
        <v>357</v>
      </c>
      <c r="G78" t="s">
        <v>358</v>
      </c>
      <c r="H78" s="1">
        <v>387.94</v>
      </c>
      <c r="I78" s="2">
        <v>43984.333333333336</v>
      </c>
      <c r="J78" s="2">
        <v>43984.833333333336</v>
      </c>
      <c r="K78" t="s">
        <v>359</v>
      </c>
    </row>
    <row r="79" spans="1:11" x14ac:dyDescent="0.25">
      <c r="A79" t="s">
        <v>11</v>
      </c>
      <c r="B79" t="s">
        <v>284</v>
      </c>
      <c r="C79" t="str">
        <f>"2019-52109"</f>
        <v>2019-52109</v>
      </c>
      <c r="D79" t="s">
        <v>360</v>
      </c>
      <c r="E79" t="s">
        <v>361</v>
      </c>
      <c r="F79" t="s">
        <v>362</v>
      </c>
      <c r="G79" t="s">
        <v>363</v>
      </c>
      <c r="H79" s="1">
        <v>388.07</v>
      </c>
      <c r="I79" s="2">
        <v>43984.333333333336</v>
      </c>
      <c r="J79" s="2">
        <v>43984.833333333336</v>
      </c>
      <c r="K79" t="s">
        <v>364</v>
      </c>
    </row>
    <row r="80" spans="1:11" x14ac:dyDescent="0.25">
      <c r="A80" t="s">
        <v>11</v>
      </c>
      <c r="B80" t="s">
        <v>284</v>
      </c>
      <c r="C80" t="str">
        <f>"2019-47810"</f>
        <v>2019-47810</v>
      </c>
      <c r="D80" t="s">
        <v>365</v>
      </c>
      <c r="E80" t="s">
        <v>366</v>
      </c>
      <c r="F80" t="s">
        <v>367</v>
      </c>
      <c r="G80" t="s">
        <v>368</v>
      </c>
      <c r="H80" s="1">
        <v>388.09</v>
      </c>
      <c r="I80" s="2">
        <v>43984.333333333336</v>
      </c>
      <c r="J80" s="2">
        <v>43984.833333333336</v>
      </c>
      <c r="K80" t="s">
        <v>369</v>
      </c>
    </row>
    <row r="81" spans="1:11" x14ac:dyDescent="0.25">
      <c r="A81" t="s">
        <v>11</v>
      </c>
      <c r="B81" t="s">
        <v>12</v>
      </c>
      <c r="C81" t="str">
        <f>"0504866500"</f>
        <v>0504866500</v>
      </c>
      <c r="D81" t="s">
        <v>370</v>
      </c>
      <c r="E81" t="s">
        <v>371</v>
      </c>
      <c r="F81" t="s">
        <v>372</v>
      </c>
      <c r="G81" t="s">
        <v>282</v>
      </c>
      <c r="H81" s="1">
        <v>388.62</v>
      </c>
      <c r="I81" s="2">
        <v>43984.333333333336</v>
      </c>
      <c r="J81" s="2">
        <v>43984.833333333336</v>
      </c>
      <c r="K81" t="s">
        <v>373</v>
      </c>
    </row>
    <row r="82" spans="1:11" x14ac:dyDescent="0.25">
      <c r="A82" t="s">
        <v>11</v>
      </c>
      <c r="B82" t="s">
        <v>284</v>
      </c>
      <c r="C82" t="str">
        <f>"2019-75170"</f>
        <v>2019-75170</v>
      </c>
      <c r="D82" t="s">
        <v>374</v>
      </c>
      <c r="E82" t="s">
        <v>375</v>
      </c>
      <c r="F82" t="s">
        <v>376</v>
      </c>
      <c r="G82" t="s">
        <v>377</v>
      </c>
      <c r="H82" s="1">
        <v>388.96</v>
      </c>
      <c r="I82" s="2">
        <v>43984.333333333336</v>
      </c>
      <c r="J82" s="2">
        <v>43984.833333333336</v>
      </c>
      <c r="K82" t="s">
        <v>378</v>
      </c>
    </row>
    <row r="83" spans="1:11" x14ac:dyDescent="0.25">
      <c r="A83" t="s">
        <v>11</v>
      </c>
      <c r="B83" t="s">
        <v>284</v>
      </c>
      <c r="C83" t="str">
        <f>"2019-82182"</f>
        <v>2019-82182</v>
      </c>
      <c r="D83" t="s">
        <v>379</v>
      </c>
      <c r="E83" t="s">
        <v>380</v>
      </c>
      <c r="F83" t="s">
        <v>381</v>
      </c>
      <c r="G83" t="s">
        <v>382</v>
      </c>
      <c r="H83" s="1">
        <v>390.33</v>
      </c>
      <c r="I83" s="2">
        <v>43984.333333333336</v>
      </c>
      <c r="J83" s="2">
        <v>43984.833333333336</v>
      </c>
      <c r="K83" t="s">
        <v>383</v>
      </c>
    </row>
    <row r="84" spans="1:11" x14ac:dyDescent="0.25">
      <c r="A84" t="s">
        <v>11</v>
      </c>
      <c r="B84" t="s">
        <v>284</v>
      </c>
      <c r="C84" t="str">
        <f>"2019-70164"</f>
        <v>2019-70164</v>
      </c>
      <c r="D84" t="s">
        <v>384</v>
      </c>
      <c r="E84" t="s">
        <v>385</v>
      </c>
      <c r="F84" t="s">
        <v>386</v>
      </c>
      <c r="G84" t="s">
        <v>387</v>
      </c>
      <c r="H84" s="1">
        <v>392.8</v>
      </c>
      <c r="I84" s="2">
        <v>43984.333333333336</v>
      </c>
      <c r="J84" s="2">
        <v>43984.833333333336</v>
      </c>
      <c r="K84" t="s">
        <v>388</v>
      </c>
    </row>
    <row r="85" spans="1:11" x14ac:dyDescent="0.25">
      <c r="A85" t="s">
        <v>11</v>
      </c>
      <c r="B85" t="s">
        <v>284</v>
      </c>
      <c r="C85" t="str">
        <f>"2019-48760"</f>
        <v>2019-48760</v>
      </c>
      <c r="D85" t="s">
        <v>389</v>
      </c>
      <c r="E85" t="s">
        <v>390</v>
      </c>
      <c r="F85" t="s">
        <v>391</v>
      </c>
      <c r="G85" t="s">
        <v>392</v>
      </c>
      <c r="H85" s="1">
        <v>392.85</v>
      </c>
      <c r="I85" s="2">
        <v>43984.333333333336</v>
      </c>
      <c r="J85" s="2">
        <v>43984.833333333336</v>
      </c>
      <c r="K85" t="s">
        <v>393</v>
      </c>
    </row>
    <row r="86" spans="1:11" x14ac:dyDescent="0.25">
      <c r="A86" t="s">
        <v>11</v>
      </c>
      <c r="B86" t="s">
        <v>284</v>
      </c>
      <c r="C86" t="str">
        <f>"2019-35753"</f>
        <v>2019-35753</v>
      </c>
      <c r="D86" t="s">
        <v>394</v>
      </c>
      <c r="E86" t="s">
        <v>395</v>
      </c>
      <c r="F86" t="s">
        <v>396</v>
      </c>
      <c r="G86" t="s">
        <v>397</v>
      </c>
      <c r="H86" s="1">
        <v>392.85</v>
      </c>
      <c r="I86" s="2">
        <v>43984.333333333336</v>
      </c>
      <c r="J86" s="2">
        <v>43984.833333333336</v>
      </c>
      <c r="K86" t="s">
        <v>398</v>
      </c>
    </row>
    <row r="87" spans="1:11" x14ac:dyDescent="0.25">
      <c r="A87" t="s">
        <v>11</v>
      </c>
      <c r="B87" t="s">
        <v>12</v>
      </c>
      <c r="C87" t="str">
        <f>"0503455000"</f>
        <v>0503455000</v>
      </c>
      <c r="D87" t="s">
        <v>399</v>
      </c>
      <c r="E87" t="s">
        <v>400</v>
      </c>
      <c r="F87" t="s">
        <v>25</v>
      </c>
      <c r="G87" t="s">
        <v>26</v>
      </c>
      <c r="H87" s="1">
        <v>392.9</v>
      </c>
      <c r="I87" s="2">
        <v>43984.333333333336</v>
      </c>
      <c r="J87" s="2">
        <v>43984.833333333336</v>
      </c>
      <c r="K87" t="s">
        <v>401</v>
      </c>
    </row>
    <row r="88" spans="1:11" x14ac:dyDescent="0.25">
      <c r="A88" t="s">
        <v>11</v>
      </c>
      <c r="B88" t="s">
        <v>284</v>
      </c>
      <c r="C88" t="str">
        <f>"2019-22029"</f>
        <v>2019-22029</v>
      </c>
      <c r="D88" t="s">
        <v>402</v>
      </c>
      <c r="E88" t="s">
        <v>403</v>
      </c>
      <c r="F88" t="s">
        <v>404</v>
      </c>
      <c r="G88" t="s">
        <v>405</v>
      </c>
      <c r="H88" s="1">
        <v>392.96</v>
      </c>
      <c r="I88" s="2">
        <v>43984.333333333336</v>
      </c>
      <c r="J88" s="2">
        <v>43984.833333333336</v>
      </c>
      <c r="K88" t="s">
        <v>406</v>
      </c>
    </row>
    <row r="89" spans="1:11" x14ac:dyDescent="0.25">
      <c r="A89" t="s">
        <v>11</v>
      </c>
      <c r="B89" t="s">
        <v>284</v>
      </c>
      <c r="C89" t="str">
        <f>"2019-16160"</f>
        <v>2019-16160</v>
      </c>
      <c r="D89" t="s">
        <v>407</v>
      </c>
      <c r="E89" t="s">
        <v>408</v>
      </c>
      <c r="F89" t="s">
        <v>409</v>
      </c>
      <c r="G89" t="s">
        <v>410</v>
      </c>
      <c r="H89" s="1">
        <v>393.84</v>
      </c>
      <c r="I89" s="2">
        <v>43984.333333333336</v>
      </c>
      <c r="J89" s="2">
        <v>43984.833333333336</v>
      </c>
      <c r="K89" t="s">
        <v>411</v>
      </c>
    </row>
    <row r="90" spans="1:11" x14ac:dyDescent="0.25">
      <c r="A90" t="s">
        <v>11</v>
      </c>
      <c r="B90" t="s">
        <v>12</v>
      </c>
      <c r="C90" t="str">
        <f>"0503460500"</f>
        <v>0503460500</v>
      </c>
      <c r="D90" t="s">
        <v>412</v>
      </c>
      <c r="E90" t="s">
        <v>413</v>
      </c>
      <c r="F90" t="s">
        <v>25</v>
      </c>
      <c r="G90" t="s">
        <v>26</v>
      </c>
      <c r="H90" s="1">
        <v>393.99</v>
      </c>
      <c r="I90" s="2">
        <v>43984.333333333336</v>
      </c>
      <c r="J90" s="2">
        <v>43984.833333333336</v>
      </c>
      <c r="K90" t="s">
        <v>414</v>
      </c>
    </row>
    <row r="91" spans="1:11" x14ac:dyDescent="0.25">
      <c r="A91" t="s">
        <v>11</v>
      </c>
      <c r="B91" t="s">
        <v>12</v>
      </c>
      <c r="C91" t="str">
        <f>"0503459548"</f>
        <v>0503459548</v>
      </c>
      <c r="D91" t="s">
        <v>415</v>
      </c>
      <c r="E91" t="s">
        <v>416</v>
      </c>
      <c r="F91" t="s">
        <v>25</v>
      </c>
      <c r="G91" t="s">
        <v>26</v>
      </c>
      <c r="H91" s="1">
        <v>393.99</v>
      </c>
      <c r="I91" s="2">
        <v>43984.333333333336</v>
      </c>
      <c r="J91" s="2">
        <v>43984.833333333336</v>
      </c>
      <c r="K91" t="s">
        <v>417</v>
      </c>
    </row>
    <row r="92" spans="1:11" x14ac:dyDescent="0.25">
      <c r="A92" t="s">
        <v>11</v>
      </c>
      <c r="B92" t="s">
        <v>284</v>
      </c>
      <c r="C92" t="str">
        <f>"2019-78117"</f>
        <v>2019-78117</v>
      </c>
      <c r="D92" t="s">
        <v>418</v>
      </c>
      <c r="E92" t="s">
        <v>419</v>
      </c>
      <c r="F92" t="s">
        <v>420</v>
      </c>
      <c r="G92" t="s">
        <v>421</v>
      </c>
      <c r="H92" s="1">
        <v>393.99</v>
      </c>
      <c r="I92" s="2">
        <v>43984.333333333336</v>
      </c>
      <c r="J92" s="2">
        <v>43984.833333333336</v>
      </c>
      <c r="K92" t="s">
        <v>422</v>
      </c>
    </row>
    <row r="93" spans="1:11" x14ac:dyDescent="0.25">
      <c r="A93" t="s">
        <v>11</v>
      </c>
      <c r="B93" t="s">
        <v>284</v>
      </c>
      <c r="C93" t="str">
        <f>"2019-63968"</f>
        <v>2019-63968</v>
      </c>
      <c r="D93" t="s">
        <v>295</v>
      </c>
      <c r="E93" t="s">
        <v>296</v>
      </c>
      <c r="F93" t="s">
        <v>423</v>
      </c>
      <c r="G93" t="s">
        <v>424</v>
      </c>
      <c r="H93" s="1">
        <v>394.88</v>
      </c>
      <c r="I93" s="2">
        <v>43984.333333333336</v>
      </c>
      <c r="J93" s="2">
        <v>43984.833333333336</v>
      </c>
      <c r="K93" t="s">
        <v>425</v>
      </c>
    </row>
    <row r="94" spans="1:11" x14ac:dyDescent="0.25">
      <c r="A94" t="s">
        <v>11</v>
      </c>
      <c r="B94" t="s">
        <v>284</v>
      </c>
      <c r="C94" t="str">
        <f>"2019-52069"</f>
        <v>2019-52069</v>
      </c>
      <c r="D94" t="s">
        <v>426</v>
      </c>
      <c r="E94" t="s">
        <v>427</v>
      </c>
      <c r="F94" t="s">
        <v>428</v>
      </c>
      <c r="G94" t="s">
        <v>429</v>
      </c>
      <c r="H94" s="1">
        <v>394.9</v>
      </c>
      <c r="I94" s="2">
        <v>43984.333333333336</v>
      </c>
      <c r="J94" s="2">
        <v>43984.833333333336</v>
      </c>
      <c r="K94" t="s">
        <v>430</v>
      </c>
    </row>
    <row r="95" spans="1:11" x14ac:dyDescent="0.25">
      <c r="A95" t="s">
        <v>11</v>
      </c>
      <c r="B95" t="s">
        <v>12</v>
      </c>
      <c r="C95" t="str">
        <f>"0500842000"</f>
        <v>0500842000</v>
      </c>
      <c r="D95" t="s">
        <v>431</v>
      </c>
      <c r="E95" t="s">
        <v>432</v>
      </c>
      <c r="F95" t="s">
        <v>433</v>
      </c>
      <c r="G95" t="s">
        <v>434</v>
      </c>
      <c r="H95" s="1">
        <v>395.29</v>
      </c>
      <c r="I95" s="2">
        <v>43984.333333333336</v>
      </c>
      <c r="J95" s="2">
        <v>43984.833333333336</v>
      </c>
      <c r="K95" t="s">
        <v>435</v>
      </c>
    </row>
    <row r="96" spans="1:11" x14ac:dyDescent="0.25">
      <c r="A96" t="s">
        <v>11</v>
      </c>
      <c r="B96" t="s">
        <v>284</v>
      </c>
      <c r="C96" t="str">
        <f>"2019-80926"</f>
        <v>2019-80926</v>
      </c>
      <c r="D96" t="s">
        <v>436</v>
      </c>
      <c r="E96" t="s">
        <v>437</v>
      </c>
      <c r="F96" t="s">
        <v>438</v>
      </c>
      <c r="G96" t="s">
        <v>439</v>
      </c>
      <c r="H96" s="1">
        <v>395.88</v>
      </c>
      <c r="I96" s="2">
        <v>43984.333333333336</v>
      </c>
      <c r="J96" s="2">
        <v>43984.833333333336</v>
      </c>
      <c r="K96" t="s">
        <v>440</v>
      </c>
    </row>
    <row r="97" spans="1:11" x14ac:dyDescent="0.25">
      <c r="A97" t="s">
        <v>11</v>
      </c>
      <c r="B97" t="s">
        <v>284</v>
      </c>
      <c r="C97" t="str">
        <f>"2019-47627"</f>
        <v>2019-47627</v>
      </c>
      <c r="D97" t="s">
        <v>441</v>
      </c>
      <c r="E97" t="s">
        <v>442</v>
      </c>
      <c r="F97" t="s">
        <v>443</v>
      </c>
      <c r="G97" t="s">
        <v>444</v>
      </c>
      <c r="H97" s="1">
        <v>396.51</v>
      </c>
      <c r="I97" s="2">
        <v>43984.333333333336</v>
      </c>
      <c r="J97" s="2">
        <v>43984.833333333336</v>
      </c>
      <c r="K97" t="s">
        <v>445</v>
      </c>
    </row>
    <row r="98" spans="1:11" x14ac:dyDescent="0.25">
      <c r="A98" t="s">
        <v>11</v>
      </c>
      <c r="B98" t="s">
        <v>12</v>
      </c>
      <c r="C98" t="str">
        <f>"0503012050"</f>
        <v>0503012050</v>
      </c>
      <c r="D98" t="s">
        <v>446</v>
      </c>
      <c r="E98" t="s">
        <v>447</v>
      </c>
      <c r="F98" t="s">
        <v>448</v>
      </c>
      <c r="G98" t="s">
        <v>449</v>
      </c>
      <c r="H98" s="1">
        <v>397.48</v>
      </c>
      <c r="I98" s="2">
        <v>43984.333333333336</v>
      </c>
      <c r="J98" s="2">
        <v>43984.833333333336</v>
      </c>
      <c r="K98" t="s">
        <v>450</v>
      </c>
    </row>
    <row r="99" spans="1:11" x14ac:dyDescent="0.25">
      <c r="A99" t="s">
        <v>11</v>
      </c>
      <c r="B99" t="s">
        <v>12</v>
      </c>
      <c r="C99" t="str">
        <f>"0504818000"</f>
        <v>0504818000</v>
      </c>
      <c r="D99" t="s">
        <v>451</v>
      </c>
      <c r="E99" t="s">
        <v>452</v>
      </c>
      <c r="F99" t="s">
        <v>453</v>
      </c>
      <c r="G99" t="s">
        <v>454</v>
      </c>
      <c r="H99" s="1">
        <v>398.09</v>
      </c>
      <c r="I99" s="2">
        <v>43984.333333333336</v>
      </c>
      <c r="J99" s="2">
        <v>43984.833333333336</v>
      </c>
      <c r="K99" t="s">
        <v>455</v>
      </c>
    </row>
    <row r="100" spans="1:11" x14ac:dyDescent="0.25">
      <c r="A100" t="s">
        <v>11</v>
      </c>
      <c r="B100" t="s">
        <v>12</v>
      </c>
      <c r="C100" t="str">
        <f>"0503454000"</f>
        <v>0503454000</v>
      </c>
      <c r="D100" t="s">
        <v>456</v>
      </c>
      <c r="E100" t="s">
        <v>457</v>
      </c>
      <c r="F100" t="s">
        <v>25</v>
      </c>
      <c r="G100" t="s">
        <v>26</v>
      </c>
      <c r="H100" s="1">
        <v>399.23</v>
      </c>
      <c r="I100" s="2">
        <v>43984.333333333336</v>
      </c>
      <c r="J100" s="2">
        <v>43984.833333333336</v>
      </c>
      <c r="K100" t="s">
        <v>458</v>
      </c>
    </row>
    <row r="101" spans="1:11" x14ac:dyDescent="0.25">
      <c r="A101" t="s">
        <v>11</v>
      </c>
      <c r="B101" t="s">
        <v>284</v>
      </c>
      <c r="C101" t="str">
        <f>"2019-80829"</f>
        <v>2019-80829</v>
      </c>
      <c r="D101" t="s">
        <v>13</v>
      </c>
      <c r="E101" t="s">
        <v>14</v>
      </c>
      <c r="F101" t="s">
        <v>15</v>
      </c>
      <c r="G101" t="s">
        <v>16</v>
      </c>
      <c r="H101" s="1">
        <v>400.57</v>
      </c>
      <c r="I101" s="2">
        <v>43984.333333333336</v>
      </c>
      <c r="J101" s="2">
        <v>43984.833333333336</v>
      </c>
      <c r="K101" t="s">
        <v>459</v>
      </c>
    </row>
    <row r="102" spans="1:11" x14ac:dyDescent="0.25">
      <c r="A102" t="s">
        <v>11</v>
      </c>
      <c r="B102" t="s">
        <v>284</v>
      </c>
      <c r="C102" t="str">
        <f>"2019-58153"</f>
        <v>2019-58153</v>
      </c>
      <c r="D102" t="s">
        <v>460</v>
      </c>
      <c r="E102" t="s">
        <v>461</v>
      </c>
      <c r="F102" t="s">
        <v>462</v>
      </c>
      <c r="G102" t="s">
        <v>463</v>
      </c>
      <c r="H102" s="1">
        <v>401.39</v>
      </c>
      <c r="I102" s="2">
        <v>43984.333333333336</v>
      </c>
      <c r="J102" s="2">
        <v>43984.833333333336</v>
      </c>
      <c r="K102" t="s">
        <v>464</v>
      </c>
    </row>
    <row r="103" spans="1:11" x14ac:dyDescent="0.25">
      <c r="A103" t="s">
        <v>11</v>
      </c>
      <c r="B103" t="s">
        <v>284</v>
      </c>
      <c r="C103" t="str">
        <f>"2019-57483"</f>
        <v>2019-57483</v>
      </c>
      <c r="D103" t="s">
        <v>465</v>
      </c>
      <c r="E103" t="s">
        <v>319</v>
      </c>
      <c r="F103" t="s">
        <v>320</v>
      </c>
      <c r="G103" t="s">
        <v>321</v>
      </c>
      <c r="H103" s="1">
        <v>403.08</v>
      </c>
      <c r="I103" s="2">
        <v>43984.333333333336</v>
      </c>
      <c r="J103" s="2">
        <v>43984.833333333336</v>
      </c>
      <c r="K103" t="s">
        <v>466</v>
      </c>
    </row>
    <row r="104" spans="1:11" x14ac:dyDescent="0.25">
      <c r="A104" t="s">
        <v>11</v>
      </c>
      <c r="B104" t="s">
        <v>12</v>
      </c>
      <c r="C104" t="str">
        <f>"0503459000"</f>
        <v>0503459000</v>
      </c>
      <c r="D104" t="s">
        <v>412</v>
      </c>
      <c r="E104" t="s">
        <v>467</v>
      </c>
      <c r="F104" t="s">
        <v>25</v>
      </c>
      <c r="G104" t="s">
        <v>26</v>
      </c>
      <c r="H104" s="1">
        <v>403.22</v>
      </c>
      <c r="I104" s="2">
        <v>43984.333333333336</v>
      </c>
      <c r="J104" s="2">
        <v>43984.833333333336</v>
      </c>
      <c r="K104" t="s">
        <v>468</v>
      </c>
    </row>
    <row r="105" spans="1:11" x14ac:dyDescent="0.25">
      <c r="A105" t="s">
        <v>11</v>
      </c>
      <c r="B105" t="s">
        <v>12</v>
      </c>
      <c r="C105" t="str">
        <f>"0503459500"</f>
        <v>0503459500</v>
      </c>
      <c r="D105" t="s">
        <v>412</v>
      </c>
      <c r="E105" t="s">
        <v>469</v>
      </c>
      <c r="F105" t="s">
        <v>25</v>
      </c>
      <c r="G105" t="s">
        <v>26</v>
      </c>
      <c r="H105" s="1">
        <v>403.22</v>
      </c>
      <c r="I105" s="2">
        <v>43984.333333333336</v>
      </c>
      <c r="J105" s="2">
        <v>43984.833333333336</v>
      </c>
      <c r="K105" t="s">
        <v>470</v>
      </c>
    </row>
    <row r="106" spans="1:11" x14ac:dyDescent="0.25">
      <c r="A106" t="s">
        <v>11</v>
      </c>
      <c r="B106" t="s">
        <v>284</v>
      </c>
      <c r="C106" t="str">
        <f>"2019-24651"</f>
        <v>2019-24651</v>
      </c>
      <c r="D106" t="s">
        <v>471</v>
      </c>
      <c r="E106" t="s">
        <v>472</v>
      </c>
      <c r="F106" t="s">
        <v>473</v>
      </c>
      <c r="G106" t="s">
        <v>474</v>
      </c>
      <c r="H106" s="1">
        <v>403.84</v>
      </c>
      <c r="I106" s="2">
        <v>43984.333333333336</v>
      </c>
      <c r="J106" s="2">
        <v>43984.833333333336</v>
      </c>
      <c r="K106" t="s">
        <v>475</v>
      </c>
    </row>
    <row r="107" spans="1:11" x14ac:dyDescent="0.25">
      <c r="A107" t="s">
        <v>11</v>
      </c>
      <c r="B107" t="s">
        <v>284</v>
      </c>
      <c r="C107" t="str">
        <f>"2019-25218"</f>
        <v>2019-25218</v>
      </c>
      <c r="D107" t="s">
        <v>476</v>
      </c>
      <c r="E107" t="s">
        <v>324</v>
      </c>
      <c r="F107" t="s">
        <v>477</v>
      </c>
      <c r="G107" t="s">
        <v>326</v>
      </c>
      <c r="H107" s="1">
        <v>404.63</v>
      </c>
      <c r="I107" s="2">
        <v>43984.333333333336</v>
      </c>
      <c r="J107" s="2">
        <v>43984.833333333336</v>
      </c>
      <c r="K107" t="s">
        <v>478</v>
      </c>
    </row>
    <row r="108" spans="1:11" x14ac:dyDescent="0.25">
      <c r="A108" t="s">
        <v>11</v>
      </c>
      <c r="B108" t="s">
        <v>284</v>
      </c>
      <c r="C108" t="str">
        <f>"2019-67700"</f>
        <v>2019-67700</v>
      </c>
      <c r="D108" t="s">
        <v>479</v>
      </c>
      <c r="E108" t="s">
        <v>480</v>
      </c>
      <c r="F108" t="s">
        <v>481</v>
      </c>
      <c r="G108" t="s">
        <v>482</v>
      </c>
      <c r="H108" s="1">
        <v>405.08</v>
      </c>
      <c r="I108" s="2">
        <v>43984.333333333336</v>
      </c>
      <c r="J108" s="2">
        <v>43984.833333333336</v>
      </c>
      <c r="K108" t="s">
        <v>483</v>
      </c>
    </row>
    <row r="109" spans="1:11" x14ac:dyDescent="0.25">
      <c r="A109" t="s">
        <v>11</v>
      </c>
      <c r="B109" t="s">
        <v>284</v>
      </c>
      <c r="C109" t="str">
        <f>"2019-59435"</f>
        <v>2019-59435</v>
      </c>
      <c r="D109" t="s">
        <v>484</v>
      </c>
      <c r="E109" t="s">
        <v>485</v>
      </c>
      <c r="F109" t="s">
        <v>486</v>
      </c>
      <c r="G109" t="s">
        <v>487</v>
      </c>
      <c r="H109" s="1">
        <v>406.23</v>
      </c>
      <c r="I109" s="2">
        <v>43984.333333333336</v>
      </c>
      <c r="J109" s="2">
        <v>43984.833333333336</v>
      </c>
      <c r="K109" t="s">
        <v>488</v>
      </c>
    </row>
    <row r="110" spans="1:11" x14ac:dyDescent="0.25">
      <c r="A110" t="s">
        <v>11</v>
      </c>
      <c r="B110" t="s">
        <v>284</v>
      </c>
      <c r="C110" t="str">
        <f>"2019-49348"</f>
        <v>2019-49348</v>
      </c>
      <c r="D110" t="s">
        <v>489</v>
      </c>
      <c r="E110" t="s">
        <v>490</v>
      </c>
      <c r="F110" t="s">
        <v>491</v>
      </c>
      <c r="G110" t="s">
        <v>492</v>
      </c>
      <c r="H110" s="1">
        <v>406.26</v>
      </c>
      <c r="I110" s="2">
        <v>43984.333333333336</v>
      </c>
      <c r="J110" s="2">
        <v>43984.833333333336</v>
      </c>
      <c r="K110" t="s">
        <v>493</v>
      </c>
    </row>
    <row r="111" spans="1:11" x14ac:dyDescent="0.25">
      <c r="A111" t="s">
        <v>11</v>
      </c>
      <c r="B111" t="s">
        <v>284</v>
      </c>
      <c r="C111" t="str">
        <f>"2019-68919"</f>
        <v>2019-68919</v>
      </c>
      <c r="D111" t="s">
        <v>494</v>
      </c>
      <c r="E111" t="s">
        <v>331</v>
      </c>
      <c r="F111" t="s">
        <v>332</v>
      </c>
      <c r="G111" t="s">
        <v>495</v>
      </c>
      <c r="H111" s="1">
        <v>406.63</v>
      </c>
      <c r="I111" s="2">
        <v>43984.333333333336</v>
      </c>
      <c r="J111" s="2">
        <v>43984.833333333336</v>
      </c>
      <c r="K111" t="s">
        <v>496</v>
      </c>
    </row>
    <row r="112" spans="1:11" x14ac:dyDescent="0.25">
      <c r="A112" t="s">
        <v>11</v>
      </c>
      <c r="B112" t="s">
        <v>284</v>
      </c>
      <c r="C112" t="str">
        <f>"2019-62337"</f>
        <v>2019-62337</v>
      </c>
      <c r="D112" t="s">
        <v>497</v>
      </c>
      <c r="E112" t="s">
        <v>498</v>
      </c>
      <c r="F112" t="s">
        <v>499</v>
      </c>
      <c r="G112" t="s">
        <v>500</v>
      </c>
      <c r="H112" s="1">
        <v>406.85</v>
      </c>
      <c r="I112" s="2">
        <v>43984.333333333336</v>
      </c>
      <c r="J112" s="2">
        <v>43984.833333333336</v>
      </c>
      <c r="K112" t="s">
        <v>501</v>
      </c>
    </row>
    <row r="113" spans="1:11" x14ac:dyDescent="0.25">
      <c r="A113" t="s">
        <v>11</v>
      </c>
      <c r="B113" t="s">
        <v>284</v>
      </c>
      <c r="C113" t="str">
        <f>"2019-29634"</f>
        <v>2019-29634</v>
      </c>
      <c r="D113" t="s">
        <v>502</v>
      </c>
      <c r="E113" t="s">
        <v>503</v>
      </c>
      <c r="F113" t="s">
        <v>504</v>
      </c>
      <c r="G113" t="s">
        <v>505</v>
      </c>
      <c r="H113" s="1">
        <v>407.29</v>
      </c>
      <c r="I113" s="2">
        <v>43984.333333333336</v>
      </c>
      <c r="J113" s="2">
        <v>43984.833333333336</v>
      </c>
      <c r="K113" t="s">
        <v>506</v>
      </c>
    </row>
    <row r="114" spans="1:11" x14ac:dyDescent="0.25">
      <c r="A114" t="s">
        <v>11</v>
      </c>
      <c r="B114" t="s">
        <v>284</v>
      </c>
      <c r="C114" t="str">
        <f>"2019-61120"</f>
        <v>2019-61120</v>
      </c>
      <c r="D114" t="s">
        <v>507</v>
      </c>
      <c r="E114" t="s">
        <v>508</v>
      </c>
      <c r="F114" t="s">
        <v>509</v>
      </c>
      <c r="G114" t="s">
        <v>510</v>
      </c>
      <c r="H114" s="1">
        <v>408.78</v>
      </c>
      <c r="I114" s="2">
        <v>43984.333333333336</v>
      </c>
      <c r="J114" s="2">
        <v>43984.833333333336</v>
      </c>
      <c r="K114" t="s">
        <v>511</v>
      </c>
    </row>
    <row r="115" spans="1:11" x14ac:dyDescent="0.25">
      <c r="A115" t="s">
        <v>11</v>
      </c>
      <c r="B115" t="s">
        <v>284</v>
      </c>
      <c r="C115" t="str">
        <f>"2019-54478"</f>
        <v>2019-54478</v>
      </c>
      <c r="D115" t="s">
        <v>512</v>
      </c>
      <c r="E115" t="s">
        <v>513</v>
      </c>
      <c r="F115" t="s">
        <v>514</v>
      </c>
      <c r="G115" t="s">
        <v>515</v>
      </c>
      <c r="H115" s="1">
        <v>409.75</v>
      </c>
      <c r="I115" s="2">
        <v>43984.333333333336</v>
      </c>
      <c r="J115" s="2">
        <v>43984.833333333336</v>
      </c>
      <c r="K115" t="s">
        <v>516</v>
      </c>
    </row>
    <row r="116" spans="1:11" x14ac:dyDescent="0.25">
      <c r="A116" t="s">
        <v>11</v>
      </c>
      <c r="B116" t="s">
        <v>12</v>
      </c>
      <c r="C116" t="str">
        <f>"0503704011"</f>
        <v>0503704011</v>
      </c>
      <c r="D116" t="s">
        <v>517</v>
      </c>
      <c r="E116" t="s">
        <v>518</v>
      </c>
      <c r="F116" t="s">
        <v>519</v>
      </c>
      <c r="G116" t="s">
        <v>520</v>
      </c>
      <c r="H116" s="1">
        <v>409.84</v>
      </c>
      <c r="I116" s="2">
        <v>43984.333333333336</v>
      </c>
      <c r="J116" s="2">
        <v>43984.833333333336</v>
      </c>
      <c r="K116" t="s">
        <v>521</v>
      </c>
    </row>
    <row r="117" spans="1:11" x14ac:dyDescent="0.25">
      <c r="A117" t="s">
        <v>11</v>
      </c>
      <c r="B117" t="s">
        <v>284</v>
      </c>
      <c r="C117" t="str">
        <f>"2019-62006"</f>
        <v>2019-62006</v>
      </c>
      <c r="D117" t="s">
        <v>522</v>
      </c>
      <c r="E117" t="s">
        <v>523</v>
      </c>
      <c r="F117" t="s">
        <v>524</v>
      </c>
      <c r="G117" t="s">
        <v>525</v>
      </c>
      <c r="H117" s="1">
        <v>410.82</v>
      </c>
      <c r="I117" s="2">
        <v>43984.333333333336</v>
      </c>
      <c r="J117" s="2">
        <v>43984.833333333336</v>
      </c>
      <c r="K117" t="s">
        <v>526</v>
      </c>
    </row>
    <row r="118" spans="1:11" x14ac:dyDescent="0.25">
      <c r="A118" t="s">
        <v>11</v>
      </c>
      <c r="B118" t="s">
        <v>284</v>
      </c>
      <c r="C118" t="str">
        <f>"2019-82603"</f>
        <v>2019-82603</v>
      </c>
      <c r="D118" t="s">
        <v>527</v>
      </c>
      <c r="E118" t="s">
        <v>528</v>
      </c>
      <c r="F118" t="s">
        <v>529</v>
      </c>
      <c r="G118" t="s">
        <v>530</v>
      </c>
      <c r="H118" s="1">
        <v>412.04</v>
      </c>
      <c r="I118" s="2">
        <v>43984.333333333336</v>
      </c>
      <c r="J118" s="2">
        <v>43984.833333333336</v>
      </c>
      <c r="K118" t="s">
        <v>531</v>
      </c>
    </row>
    <row r="119" spans="1:11" x14ac:dyDescent="0.25">
      <c r="A119" t="s">
        <v>11</v>
      </c>
      <c r="B119" t="s">
        <v>284</v>
      </c>
      <c r="C119" t="str">
        <f>"2019-60062"</f>
        <v>2019-60062</v>
      </c>
      <c r="D119" t="s">
        <v>355</v>
      </c>
      <c r="E119" t="s">
        <v>356</v>
      </c>
      <c r="F119" t="s">
        <v>357</v>
      </c>
      <c r="G119" t="s">
        <v>358</v>
      </c>
      <c r="H119" s="1">
        <v>414.09</v>
      </c>
      <c r="I119" s="2">
        <v>43984.333333333336</v>
      </c>
      <c r="J119" s="2">
        <v>43984.833333333336</v>
      </c>
      <c r="K119" t="s">
        <v>532</v>
      </c>
    </row>
    <row r="120" spans="1:11" x14ac:dyDescent="0.25">
      <c r="A120" t="s">
        <v>11</v>
      </c>
      <c r="B120" t="s">
        <v>12</v>
      </c>
      <c r="C120" t="str">
        <f>"0503286000A"</f>
        <v>0503286000A</v>
      </c>
      <c r="D120" t="s">
        <v>533</v>
      </c>
      <c r="E120" t="s">
        <v>534</v>
      </c>
      <c r="F120" t="s">
        <v>320</v>
      </c>
      <c r="G120" t="s">
        <v>321</v>
      </c>
      <c r="H120" s="1">
        <v>414.64</v>
      </c>
      <c r="I120" s="2">
        <v>43984.333333333336</v>
      </c>
      <c r="J120" s="2">
        <v>43984.833333333336</v>
      </c>
      <c r="K120" t="s">
        <v>535</v>
      </c>
    </row>
    <row r="121" spans="1:11" x14ac:dyDescent="0.25">
      <c r="A121" t="s">
        <v>11</v>
      </c>
      <c r="B121" t="s">
        <v>284</v>
      </c>
      <c r="C121" t="str">
        <f>"2019-30431"</f>
        <v>2019-30431</v>
      </c>
      <c r="D121" t="s">
        <v>536</v>
      </c>
      <c r="E121" t="s">
        <v>537</v>
      </c>
      <c r="F121" t="s">
        <v>538</v>
      </c>
      <c r="G121" t="s">
        <v>539</v>
      </c>
      <c r="H121" s="1">
        <v>415.67</v>
      </c>
      <c r="I121" s="2">
        <v>43984.333333333336</v>
      </c>
      <c r="J121" s="2">
        <v>43984.833333333336</v>
      </c>
      <c r="K121" t="s">
        <v>540</v>
      </c>
    </row>
    <row r="122" spans="1:11" x14ac:dyDescent="0.25">
      <c r="A122" t="s">
        <v>11</v>
      </c>
      <c r="B122" t="s">
        <v>12</v>
      </c>
      <c r="C122" t="str">
        <f>"0500136001"</f>
        <v>0500136001</v>
      </c>
      <c r="D122" t="s">
        <v>541</v>
      </c>
      <c r="E122" t="s">
        <v>542</v>
      </c>
      <c r="F122" t="s">
        <v>543</v>
      </c>
      <c r="G122" t="s">
        <v>544</v>
      </c>
      <c r="H122" s="1">
        <v>415.99</v>
      </c>
      <c r="I122" s="2">
        <v>43984.333333333336</v>
      </c>
      <c r="J122" s="2">
        <v>43984.833333333336</v>
      </c>
      <c r="K122" t="s">
        <v>545</v>
      </c>
    </row>
    <row r="123" spans="1:11" x14ac:dyDescent="0.25">
      <c r="A123" t="s">
        <v>11</v>
      </c>
      <c r="B123" t="s">
        <v>284</v>
      </c>
      <c r="C123" t="str">
        <f>"2019-23037"</f>
        <v>2019-23037</v>
      </c>
      <c r="D123" t="s">
        <v>370</v>
      </c>
      <c r="E123" t="s">
        <v>371</v>
      </c>
      <c r="F123" t="s">
        <v>372</v>
      </c>
      <c r="G123" t="s">
        <v>282</v>
      </c>
      <c r="H123" s="1">
        <v>416.02</v>
      </c>
      <c r="I123" s="2">
        <v>43984.333333333336</v>
      </c>
      <c r="J123" s="2">
        <v>43984.833333333336</v>
      </c>
      <c r="K123" t="s">
        <v>546</v>
      </c>
    </row>
    <row r="124" spans="1:11" x14ac:dyDescent="0.25">
      <c r="A124" t="s">
        <v>11</v>
      </c>
      <c r="B124" t="s">
        <v>12</v>
      </c>
      <c r="C124" t="str">
        <f>"0503705500"</f>
        <v>0503705500</v>
      </c>
      <c r="D124" t="s">
        <v>547</v>
      </c>
      <c r="E124" t="s">
        <v>548</v>
      </c>
      <c r="F124" t="s">
        <v>519</v>
      </c>
      <c r="G124" t="s">
        <v>520</v>
      </c>
      <c r="H124" s="1">
        <v>416.1</v>
      </c>
      <c r="I124" s="2">
        <v>43984.333333333336</v>
      </c>
      <c r="J124" s="2">
        <v>43984.833333333336</v>
      </c>
      <c r="K124" t="s">
        <v>549</v>
      </c>
    </row>
    <row r="125" spans="1:11" x14ac:dyDescent="0.25">
      <c r="A125" t="s">
        <v>11</v>
      </c>
      <c r="B125" t="s">
        <v>284</v>
      </c>
      <c r="C125" t="str">
        <f>"2019-84945"</f>
        <v>2019-84945</v>
      </c>
      <c r="D125" t="s">
        <v>550</v>
      </c>
      <c r="E125" t="s">
        <v>551</v>
      </c>
      <c r="F125" t="s">
        <v>552</v>
      </c>
      <c r="G125" t="s">
        <v>553</v>
      </c>
      <c r="H125" s="1">
        <v>416.97</v>
      </c>
      <c r="I125" s="2">
        <v>43984.333333333336</v>
      </c>
      <c r="J125" s="2">
        <v>43984.833333333336</v>
      </c>
      <c r="K125" t="s">
        <v>554</v>
      </c>
    </row>
    <row r="126" spans="1:11" x14ac:dyDescent="0.25">
      <c r="A126" t="s">
        <v>11</v>
      </c>
      <c r="B126" t="s">
        <v>284</v>
      </c>
      <c r="C126" t="str">
        <f>"2019-53841"</f>
        <v>2019-53841</v>
      </c>
      <c r="D126" t="s">
        <v>555</v>
      </c>
      <c r="E126" t="s">
        <v>556</v>
      </c>
      <c r="F126" t="s">
        <v>557</v>
      </c>
      <c r="G126" t="s">
        <v>558</v>
      </c>
      <c r="H126" s="1">
        <v>417.2</v>
      </c>
      <c r="I126" s="2">
        <v>43984.333333333336</v>
      </c>
      <c r="J126" s="2">
        <v>43984.833333333336</v>
      </c>
      <c r="K126" t="s">
        <v>559</v>
      </c>
    </row>
    <row r="127" spans="1:11" x14ac:dyDescent="0.25">
      <c r="A127" t="s">
        <v>11</v>
      </c>
      <c r="B127" t="s">
        <v>284</v>
      </c>
      <c r="C127" t="str">
        <f>"2019-16989"</f>
        <v>2019-16989</v>
      </c>
      <c r="D127" t="s">
        <v>560</v>
      </c>
      <c r="E127" t="s">
        <v>561</v>
      </c>
      <c r="F127" t="s">
        <v>562</v>
      </c>
      <c r="G127" t="s">
        <v>563</v>
      </c>
      <c r="H127" s="1">
        <v>417.32</v>
      </c>
      <c r="I127" s="2">
        <v>43984.333333333336</v>
      </c>
      <c r="J127" s="2">
        <v>43984.833333333336</v>
      </c>
      <c r="K127" t="s">
        <v>564</v>
      </c>
    </row>
    <row r="128" spans="1:11" x14ac:dyDescent="0.25">
      <c r="A128" t="s">
        <v>11</v>
      </c>
      <c r="B128" t="s">
        <v>284</v>
      </c>
      <c r="C128" t="str">
        <f>"2019-56990"</f>
        <v>2019-56990</v>
      </c>
      <c r="D128" t="s">
        <v>565</v>
      </c>
      <c r="E128" t="s">
        <v>566</v>
      </c>
      <c r="F128" t="s">
        <v>567</v>
      </c>
      <c r="G128" t="s">
        <v>568</v>
      </c>
      <c r="H128" s="1">
        <v>418.98</v>
      </c>
      <c r="I128" s="2">
        <v>43984.333333333336</v>
      </c>
      <c r="J128" s="2">
        <v>43984.833333333336</v>
      </c>
      <c r="K128" t="s">
        <v>569</v>
      </c>
    </row>
    <row r="129" spans="1:11" x14ac:dyDescent="0.25">
      <c r="A129" t="s">
        <v>11</v>
      </c>
      <c r="B129" t="s">
        <v>284</v>
      </c>
      <c r="C129" t="str">
        <f>"2019-24182"</f>
        <v>2019-24182</v>
      </c>
      <c r="D129" t="s">
        <v>18</v>
      </c>
      <c r="E129" t="s">
        <v>19</v>
      </c>
      <c r="F129" t="s">
        <v>20</v>
      </c>
      <c r="G129" t="s">
        <v>21</v>
      </c>
      <c r="H129" s="1">
        <v>419.71</v>
      </c>
      <c r="I129" s="2">
        <v>43984.333333333336</v>
      </c>
      <c r="J129" s="2">
        <v>43984.833333333336</v>
      </c>
      <c r="K129" t="s">
        <v>570</v>
      </c>
    </row>
    <row r="130" spans="1:11" x14ac:dyDescent="0.25">
      <c r="A130" t="s">
        <v>11</v>
      </c>
      <c r="B130" t="s">
        <v>12</v>
      </c>
      <c r="C130" t="str">
        <f>"0500953000"</f>
        <v>0500953000</v>
      </c>
      <c r="D130" t="s">
        <v>571</v>
      </c>
      <c r="E130" t="s">
        <v>572</v>
      </c>
      <c r="F130" t="s">
        <v>573</v>
      </c>
      <c r="G130" t="s">
        <v>574</v>
      </c>
      <c r="H130" s="1">
        <v>422.9</v>
      </c>
      <c r="I130" s="2">
        <v>43984.333333333336</v>
      </c>
      <c r="J130" s="2">
        <v>43984.833333333336</v>
      </c>
      <c r="K130" t="s">
        <v>575</v>
      </c>
    </row>
    <row r="131" spans="1:11" x14ac:dyDescent="0.25">
      <c r="A131" t="s">
        <v>11</v>
      </c>
      <c r="B131" t="s">
        <v>12</v>
      </c>
      <c r="C131" t="str">
        <f>"0504015750"</f>
        <v>0504015750</v>
      </c>
      <c r="D131" t="s">
        <v>576</v>
      </c>
      <c r="E131" t="s">
        <v>577</v>
      </c>
      <c r="F131" t="s">
        <v>578</v>
      </c>
      <c r="G131" t="s">
        <v>579</v>
      </c>
      <c r="H131" s="1">
        <v>423</v>
      </c>
      <c r="I131" s="2">
        <v>43984.333333333336</v>
      </c>
      <c r="J131" s="2">
        <v>43984.833333333336</v>
      </c>
      <c r="K131" t="s">
        <v>580</v>
      </c>
    </row>
    <row r="132" spans="1:11" x14ac:dyDescent="0.25">
      <c r="A132" t="s">
        <v>11</v>
      </c>
      <c r="B132" t="s">
        <v>12</v>
      </c>
      <c r="C132" t="str">
        <f>"0502582000"</f>
        <v>0502582000</v>
      </c>
      <c r="D132" t="s">
        <v>581</v>
      </c>
      <c r="E132" t="s">
        <v>582</v>
      </c>
      <c r="F132" t="s">
        <v>583</v>
      </c>
      <c r="G132" t="s">
        <v>584</v>
      </c>
      <c r="H132" s="1">
        <v>423.34</v>
      </c>
      <c r="I132" s="2">
        <v>43984.333333333336</v>
      </c>
      <c r="J132" s="2">
        <v>43984.833333333336</v>
      </c>
      <c r="K132" t="s">
        <v>585</v>
      </c>
    </row>
    <row r="133" spans="1:11" x14ac:dyDescent="0.25">
      <c r="A133" t="s">
        <v>11</v>
      </c>
      <c r="B133" t="s">
        <v>284</v>
      </c>
      <c r="C133" t="str">
        <f>"2019-59099"</f>
        <v>2019-59099</v>
      </c>
      <c r="D133" t="s">
        <v>586</v>
      </c>
      <c r="E133" t="s">
        <v>587</v>
      </c>
      <c r="F133" t="s">
        <v>588</v>
      </c>
      <c r="G133" t="s">
        <v>589</v>
      </c>
      <c r="H133" s="1">
        <v>424.25</v>
      </c>
      <c r="I133" s="2">
        <v>43984.333333333336</v>
      </c>
      <c r="J133" s="2">
        <v>43984.833333333336</v>
      </c>
      <c r="K133" t="s">
        <v>590</v>
      </c>
    </row>
    <row r="134" spans="1:11" x14ac:dyDescent="0.25">
      <c r="A134" t="s">
        <v>11</v>
      </c>
      <c r="B134" t="s">
        <v>284</v>
      </c>
      <c r="C134" t="str">
        <f>"2019-24221"</f>
        <v>2019-24221</v>
      </c>
      <c r="D134" t="s">
        <v>591</v>
      </c>
      <c r="E134" t="s">
        <v>592</v>
      </c>
      <c r="F134" t="s">
        <v>292</v>
      </c>
      <c r="G134" t="s">
        <v>293</v>
      </c>
      <c r="H134" s="1">
        <v>424.46</v>
      </c>
      <c r="I134" s="2">
        <v>43984.333333333336</v>
      </c>
      <c r="J134" s="2">
        <v>43984.833333333336</v>
      </c>
      <c r="K134" t="s">
        <v>593</v>
      </c>
    </row>
    <row r="135" spans="1:11" x14ac:dyDescent="0.25">
      <c r="A135" t="s">
        <v>11</v>
      </c>
      <c r="B135" t="s">
        <v>284</v>
      </c>
      <c r="C135" t="str">
        <f>"2019-46310"</f>
        <v>2019-46310</v>
      </c>
      <c r="D135" t="s">
        <v>594</v>
      </c>
      <c r="E135" t="s">
        <v>595</v>
      </c>
      <c r="F135" t="s">
        <v>292</v>
      </c>
      <c r="G135" t="s">
        <v>596</v>
      </c>
      <c r="H135" s="1">
        <v>425.13</v>
      </c>
      <c r="I135" s="2">
        <v>43984.333333333336</v>
      </c>
      <c r="J135" s="2">
        <v>43984.833333333336</v>
      </c>
      <c r="K135" t="s">
        <v>597</v>
      </c>
    </row>
    <row r="136" spans="1:11" x14ac:dyDescent="0.25">
      <c r="A136" t="s">
        <v>11</v>
      </c>
      <c r="B136" t="s">
        <v>284</v>
      </c>
      <c r="C136" t="str">
        <f>"2019-66423"</f>
        <v>2019-66423</v>
      </c>
      <c r="D136" t="s">
        <v>598</v>
      </c>
      <c r="E136" t="s">
        <v>599</v>
      </c>
      <c r="F136" t="s">
        <v>600</v>
      </c>
      <c r="G136" t="s">
        <v>303</v>
      </c>
      <c r="H136" s="1">
        <v>425.18</v>
      </c>
      <c r="I136" s="2">
        <v>43984.333333333336</v>
      </c>
      <c r="J136" s="2">
        <v>43984.833333333336</v>
      </c>
      <c r="K136" t="s">
        <v>601</v>
      </c>
    </row>
    <row r="137" spans="1:11" x14ac:dyDescent="0.25">
      <c r="A137" t="s">
        <v>11</v>
      </c>
      <c r="B137" t="s">
        <v>284</v>
      </c>
      <c r="C137" t="str">
        <f>"2019-70695"</f>
        <v>2019-70695</v>
      </c>
      <c r="D137" t="s">
        <v>602</v>
      </c>
      <c r="E137" t="s">
        <v>603</v>
      </c>
      <c r="F137" t="s">
        <v>604</v>
      </c>
      <c r="G137" t="s">
        <v>605</v>
      </c>
      <c r="H137" s="1">
        <v>426.58</v>
      </c>
      <c r="I137" s="2">
        <v>43984.333333333336</v>
      </c>
      <c r="J137" s="2">
        <v>43984.833333333336</v>
      </c>
      <c r="K137" t="s">
        <v>606</v>
      </c>
    </row>
    <row r="138" spans="1:11" x14ac:dyDescent="0.25">
      <c r="A138" t="s">
        <v>11</v>
      </c>
      <c r="B138" t="s">
        <v>284</v>
      </c>
      <c r="C138" t="str">
        <f>"2019-23291"</f>
        <v>2019-23291</v>
      </c>
      <c r="D138" t="s">
        <v>607</v>
      </c>
      <c r="E138" t="s">
        <v>608</v>
      </c>
      <c r="F138" t="s">
        <v>609</v>
      </c>
      <c r="G138" t="s">
        <v>610</v>
      </c>
      <c r="H138" s="1">
        <v>426.66</v>
      </c>
      <c r="I138" s="2">
        <v>43984.333333333336</v>
      </c>
      <c r="J138" s="2">
        <v>43984.833333333336</v>
      </c>
      <c r="K138" t="s">
        <v>611</v>
      </c>
    </row>
    <row r="139" spans="1:11" x14ac:dyDescent="0.25">
      <c r="A139" t="s">
        <v>11</v>
      </c>
      <c r="B139" t="s">
        <v>284</v>
      </c>
      <c r="C139" t="str">
        <f>"2019-54550"</f>
        <v>2019-54550</v>
      </c>
      <c r="D139" t="s">
        <v>612</v>
      </c>
      <c r="E139" t="s">
        <v>613</v>
      </c>
      <c r="F139" t="s">
        <v>614</v>
      </c>
      <c r="G139" t="s">
        <v>615</v>
      </c>
      <c r="H139" s="1">
        <v>426.72</v>
      </c>
      <c r="I139" s="2">
        <v>43984.333333333336</v>
      </c>
      <c r="J139" s="2">
        <v>43984.833333333336</v>
      </c>
      <c r="K139" t="s">
        <v>616</v>
      </c>
    </row>
    <row r="140" spans="1:11" x14ac:dyDescent="0.25">
      <c r="A140" t="s">
        <v>11</v>
      </c>
      <c r="B140" t="s">
        <v>12</v>
      </c>
      <c r="C140" t="str">
        <f>"0502090000"</f>
        <v>0502090000</v>
      </c>
      <c r="D140" t="s">
        <v>617</v>
      </c>
      <c r="E140" t="s">
        <v>618</v>
      </c>
      <c r="F140" t="s">
        <v>619</v>
      </c>
      <c r="G140" t="s">
        <v>620</v>
      </c>
      <c r="H140" s="1">
        <v>427.62</v>
      </c>
      <c r="I140" s="2">
        <v>43984.333333333336</v>
      </c>
      <c r="J140" s="2">
        <v>43984.833333333336</v>
      </c>
      <c r="K140" t="s">
        <v>621</v>
      </c>
    </row>
    <row r="141" spans="1:11" x14ac:dyDescent="0.25">
      <c r="A141" t="s">
        <v>11</v>
      </c>
      <c r="B141" t="s">
        <v>284</v>
      </c>
      <c r="C141" t="str">
        <f>"2019-57186"</f>
        <v>2019-57186</v>
      </c>
      <c r="D141" t="s">
        <v>622</v>
      </c>
      <c r="E141" t="s">
        <v>400</v>
      </c>
      <c r="F141" t="s">
        <v>25</v>
      </c>
      <c r="G141" t="s">
        <v>26</v>
      </c>
      <c r="H141" s="1">
        <v>427.92</v>
      </c>
      <c r="I141" s="2">
        <v>43984.333333333336</v>
      </c>
      <c r="J141" s="2">
        <v>43984.833333333336</v>
      </c>
      <c r="K141" t="s">
        <v>623</v>
      </c>
    </row>
    <row r="142" spans="1:11" x14ac:dyDescent="0.25">
      <c r="A142" t="s">
        <v>11</v>
      </c>
      <c r="B142" t="s">
        <v>284</v>
      </c>
      <c r="C142" t="str">
        <f>"2019-66994"</f>
        <v>2019-66994</v>
      </c>
      <c r="D142" t="s">
        <v>624</v>
      </c>
      <c r="E142" t="s">
        <v>24</v>
      </c>
      <c r="F142" t="s">
        <v>25</v>
      </c>
      <c r="G142" t="s">
        <v>26</v>
      </c>
      <c r="H142" s="1">
        <v>428.36</v>
      </c>
      <c r="I142" s="2">
        <v>43984.333333333336</v>
      </c>
      <c r="J142" s="2">
        <v>43984.833333333336</v>
      </c>
      <c r="K142" t="s">
        <v>625</v>
      </c>
    </row>
    <row r="143" spans="1:11" x14ac:dyDescent="0.25">
      <c r="A143" t="s">
        <v>11</v>
      </c>
      <c r="B143" t="s">
        <v>284</v>
      </c>
      <c r="C143" t="str">
        <f>"2019-73215"</f>
        <v>2019-73215</v>
      </c>
      <c r="D143" t="s">
        <v>626</v>
      </c>
      <c r="E143" t="s">
        <v>627</v>
      </c>
      <c r="F143" t="s">
        <v>628</v>
      </c>
      <c r="G143" t="s">
        <v>629</v>
      </c>
      <c r="H143" s="1">
        <v>428.42</v>
      </c>
      <c r="I143" s="2">
        <v>43984.333333333336</v>
      </c>
      <c r="J143" s="2">
        <v>43984.833333333336</v>
      </c>
      <c r="K143" t="s">
        <v>630</v>
      </c>
    </row>
    <row r="144" spans="1:11" x14ac:dyDescent="0.25">
      <c r="A144" t="s">
        <v>11</v>
      </c>
      <c r="B144" t="s">
        <v>12</v>
      </c>
      <c r="C144" t="str">
        <f>"0502931500A"</f>
        <v>0502931500A</v>
      </c>
      <c r="D144" t="s">
        <v>631</v>
      </c>
      <c r="E144" t="s">
        <v>632</v>
      </c>
      <c r="F144" t="s">
        <v>320</v>
      </c>
      <c r="G144" t="s">
        <v>321</v>
      </c>
      <c r="H144" s="1">
        <v>429.38</v>
      </c>
      <c r="I144" s="2">
        <v>43984.333333333336</v>
      </c>
      <c r="J144" s="2">
        <v>43984.833333333336</v>
      </c>
      <c r="K144" t="s">
        <v>633</v>
      </c>
    </row>
    <row r="145" spans="1:11" x14ac:dyDescent="0.25">
      <c r="A145" t="s">
        <v>11</v>
      </c>
      <c r="B145" t="s">
        <v>284</v>
      </c>
      <c r="C145" t="str">
        <f>"2019-49125"</f>
        <v>2019-49125</v>
      </c>
      <c r="D145" t="s">
        <v>208</v>
      </c>
      <c r="E145" t="s">
        <v>209</v>
      </c>
      <c r="F145" t="s">
        <v>634</v>
      </c>
      <c r="G145" t="s">
        <v>211</v>
      </c>
      <c r="H145" s="1">
        <v>429.77</v>
      </c>
      <c r="I145" s="2">
        <v>43984.333333333336</v>
      </c>
      <c r="J145" s="2">
        <v>43984.833333333336</v>
      </c>
      <c r="K145" t="s">
        <v>635</v>
      </c>
    </row>
    <row r="146" spans="1:11" x14ac:dyDescent="0.25">
      <c r="A146" t="s">
        <v>11</v>
      </c>
      <c r="B146" t="s">
        <v>12</v>
      </c>
      <c r="C146" t="str">
        <f>"0503630001"</f>
        <v>0503630001</v>
      </c>
      <c r="D146" t="s">
        <v>636</v>
      </c>
      <c r="E146" t="s">
        <v>637</v>
      </c>
      <c r="F146" t="s">
        <v>638</v>
      </c>
      <c r="G146" t="s">
        <v>639</v>
      </c>
      <c r="H146" s="1">
        <v>430.23</v>
      </c>
      <c r="I146" s="2">
        <v>43984.333333333336</v>
      </c>
      <c r="J146" s="2">
        <v>43984.833333333336</v>
      </c>
      <c r="K146" t="s">
        <v>640</v>
      </c>
    </row>
    <row r="147" spans="1:11" x14ac:dyDescent="0.25">
      <c r="A147" t="s">
        <v>11</v>
      </c>
      <c r="B147" t="s">
        <v>284</v>
      </c>
      <c r="C147" t="str">
        <f>"2019-68763"</f>
        <v>2019-68763</v>
      </c>
      <c r="D147" t="s">
        <v>641</v>
      </c>
      <c r="E147" t="s">
        <v>416</v>
      </c>
      <c r="F147" t="s">
        <v>25</v>
      </c>
      <c r="G147" t="s">
        <v>26</v>
      </c>
      <c r="H147" s="1">
        <v>430.95</v>
      </c>
      <c r="I147" s="2">
        <v>43984.333333333336</v>
      </c>
      <c r="J147" s="2">
        <v>43984.833333333336</v>
      </c>
      <c r="K147" t="s">
        <v>642</v>
      </c>
    </row>
    <row r="148" spans="1:11" x14ac:dyDescent="0.25">
      <c r="A148" t="s">
        <v>11</v>
      </c>
      <c r="B148" t="s">
        <v>284</v>
      </c>
      <c r="C148" t="str">
        <f>"2019-49828"</f>
        <v>2019-49828</v>
      </c>
      <c r="D148" t="s">
        <v>412</v>
      </c>
      <c r="E148" t="s">
        <v>413</v>
      </c>
      <c r="F148" t="s">
        <v>25</v>
      </c>
      <c r="G148" t="s">
        <v>26</v>
      </c>
      <c r="H148" s="1">
        <v>430.95</v>
      </c>
      <c r="I148" s="2">
        <v>43984.333333333336</v>
      </c>
      <c r="J148" s="2">
        <v>43984.833333333336</v>
      </c>
      <c r="K148" t="s">
        <v>643</v>
      </c>
    </row>
    <row r="149" spans="1:11" x14ac:dyDescent="0.25">
      <c r="A149" t="s">
        <v>11</v>
      </c>
      <c r="B149" t="s">
        <v>284</v>
      </c>
      <c r="C149" t="str">
        <f>"2019-58492"</f>
        <v>2019-58492</v>
      </c>
      <c r="D149" t="s">
        <v>644</v>
      </c>
      <c r="E149" t="s">
        <v>645</v>
      </c>
      <c r="F149" t="s">
        <v>25</v>
      </c>
      <c r="G149" t="s">
        <v>26</v>
      </c>
      <c r="H149" s="1">
        <v>430.95</v>
      </c>
      <c r="I149" s="2">
        <v>43984.333333333336</v>
      </c>
      <c r="J149" s="2">
        <v>43984.833333333336</v>
      </c>
      <c r="K149" t="s">
        <v>646</v>
      </c>
    </row>
    <row r="150" spans="1:11" x14ac:dyDescent="0.25">
      <c r="A150" t="s">
        <v>11</v>
      </c>
      <c r="B150" t="s">
        <v>12</v>
      </c>
      <c r="C150" t="str">
        <f>"0503286000"</f>
        <v>0503286000</v>
      </c>
      <c r="D150" t="s">
        <v>647</v>
      </c>
      <c r="E150" t="s">
        <v>648</v>
      </c>
      <c r="F150" t="s">
        <v>320</v>
      </c>
      <c r="G150" t="s">
        <v>321</v>
      </c>
      <c r="H150" s="1">
        <v>433.17</v>
      </c>
      <c r="I150" s="2">
        <v>43984.333333333336</v>
      </c>
      <c r="J150" s="2">
        <v>43984.833333333336</v>
      </c>
      <c r="K150" t="s">
        <v>649</v>
      </c>
    </row>
    <row r="151" spans="1:11" x14ac:dyDescent="0.25">
      <c r="A151" t="s">
        <v>11</v>
      </c>
      <c r="B151" t="s">
        <v>12</v>
      </c>
      <c r="C151" t="str">
        <f>"0504440500"</f>
        <v>0504440500</v>
      </c>
      <c r="D151" t="s">
        <v>650</v>
      </c>
      <c r="E151" t="s">
        <v>651</v>
      </c>
      <c r="F151" t="s">
        <v>652</v>
      </c>
      <c r="G151" t="s">
        <v>653</v>
      </c>
      <c r="H151" s="1">
        <v>433.97</v>
      </c>
      <c r="I151" s="2">
        <v>43984.333333333336</v>
      </c>
      <c r="J151" s="2">
        <v>43984.833333333336</v>
      </c>
      <c r="K151" t="s">
        <v>654</v>
      </c>
    </row>
    <row r="152" spans="1:11" x14ac:dyDescent="0.25">
      <c r="A152" t="s">
        <v>11</v>
      </c>
      <c r="B152" t="s">
        <v>284</v>
      </c>
      <c r="C152" t="str">
        <f>"2019-51851"</f>
        <v>2019-51851</v>
      </c>
      <c r="D152" t="s">
        <v>431</v>
      </c>
      <c r="E152" t="s">
        <v>432</v>
      </c>
      <c r="F152" t="s">
        <v>433</v>
      </c>
      <c r="G152" t="s">
        <v>434</v>
      </c>
      <c r="H152" s="1">
        <v>434.42</v>
      </c>
      <c r="I152" s="2">
        <v>43984.333333333336</v>
      </c>
      <c r="J152" s="2">
        <v>43984.833333333336</v>
      </c>
      <c r="K152" t="s">
        <v>655</v>
      </c>
    </row>
    <row r="153" spans="1:11" x14ac:dyDescent="0.25">
      <c r="A153" t="s">
        <v>11</v>
      </c>
      <c r="B153" t="s">
        <v>284</v>
      </c>
      <c r="C153" t="str">
        <f>"2019-43419"</f>
        <v>2019-43419</v>
      </c>
      <c r="D153" t="s">
        <v>656</v>
      </c>
      <c r="E153" t="s">
        <v>657</v>
      </c>
      <c r="F153" t="s">
        <v>658</v>
      </c>
      <c r="G153" t="s">
        <v>659</v>
      </c>
      <c r="H153" s="1">
        <v>434.49</v>
      </c>
      <c r="I153" s="2">
        <v>43984.333333333336</v>
      </c>
      <c r="J153" s="2">
        <v>43984.833333333336</v>
      </c>
      <c r="K153" t="s">
        <v>660</v>
      </c>
    </row>
    <row r="154" spans="1:11" x14ac:dyDescent="0.25">
      <c r="A154" t="s">
        <v>11</v>
      </c>
      <c r="B154" t="s">
        <v>284</v>
      </c>
      <c r="C154" t="str">
        <f>"2019-76727"</f>
        <v>2019-76727</v>
      </c>
      <c r="D154" t="s">
        <v>661</v>
      </c>
      <c r="E154" t="s">
        <v>662</v>
      </c>
      <c r="F154" t="s">
        <v>663</v>
      </c>
      <c r="G154" t="s">
        <v>664</v>
      </c>
      <c r="H154" s="1">
        <v>436.65</v>
      </c>
      <c r="I154" s="2">
        <v>43984.333333333336</v>
      </c>
      <c r="J154" s="2">
        <v>43984.833333333336</v>
      </c>
      <c r="K154" t="s">
        <v>665</v>
      </c>
    </row>
    <row r="155" spans="1:11" x14ac:dyDescent="0.25">
      <c r="A155" t="s">
        <v>11</v>
      </c>
      <c r="B155" t="s">
        <v>284</v>
      </c>
      <c r="C155" t="str">
        <f>"2019-78348"</f>
        <v>2019-78348</v>
      </c>
      <c r="D155" t="s">
        <v>666</v>
      </c>
      <c r="E155" t="s">
        <v>667</v>
      </c>
      <c r="F155" t="s">
        <v>668</v>
      </c>
      <c r="G155" t="s">
        <v>669</v>
      </c>
      <c r="H155" s="1">
        <v>436.73</v>
      </c>
      <c r="I155" s="2">
        <v>43984.333333333336</v>
      </c>
      <c r="J155" s="2">
        <v>43984.833333333336</v>
      </c>
      <c r="K155" t="s">
        <v>670</v>
      </c>
    </row>
    <row r="156" spans="1:11" x14ac:dyDescent="0.25">
      <c r="A156" t="s">
        <v>11</v>
      </c>
      <c r="B156" t="s">
        <v>284</v>
      </c>
      <c r="C156" t="str">
        <f>"2019-76461"</f>
        <v>2019-76461</v>
      </c>
      <c r="D156" t="s">
        <v>671</v>
      </c>
      <c r="E156" t="s">
        <v>672</v>
      </c>
      <c r="F156" t="s">
        <v>673</v>
      </c>
      <c r="G156" t="s">
        <v>674</v>
      </c>
      <c r="H156" s="1">
        <v>437.6</v>
      </c>
      <c r="I156" s="2">
        <v>43984.333333333336</v>
      </c>
      <c r="J156" s="2">
        <v>43984.833333333336</v>
      </c>
      <c r="K156" t="s">
        <v>675</v>
      </c>
    </row>
    <row r="157" spans="1:11" x14ac:dyDescent="0.25">
      <c r="A157" t="s">
        <v>11</v>
      </c>
      <c r="B157" t="s">
        <v>284</v>
      </c>
      <c r="C157" t="str">
        <f>"2019-46044"</f>
        <v>2019-46044</v>
      </c>
      <c r="D157" t="s">
        <v>676</v>
      </c>
      <c r="E157" t="s">
        <v>677</v>
      </c>
      <c r="F157" t="s">
        <v>678</v>
      </c>
      <c r="G157" t="s">
        <v>679</v>
      </c>
      <c r="H157" s="1">
        <v>438.24</v>
      </c>
      <c r="I157" s="2">
        <v>43984.333333333336</v>
      </c>
      <c r="J157" s="2">
        <v>43984.833333333336</v>
      </c>
      <c r="K157" t="s">
        <v>680</v>
      </c>
    </row>
    <row r="158" spans="1:11" x14ac:dyDescent="0.25">
      <c r="A158" t="s">
        <v>11</v>
      </c>
      <c r="B158" t="s">
        <v>12</v>
      </c>
      <c r="C158" t="str">
        <f>"0503371500"</f>
        <v>0503371500</v>
      </c>
      <c r="D158" t="s">
        <v>681</v>
      </c>
      <c r="E158" t="s">
        <v>682</v>
      </c>
      <c r="F158" t="s">
        <v>683</v>
      </c>
      <c r="G158" t="s">
        <v>684</v>
      </c>
      <c r="H158" s="1">
        <v>439.91</v>
      </c>
      <c r="I158" s="2">
        <v>43984.333333333336</v>
      </c>
      <c r="J158" s="2">
        <v>43984.833333333336</v>
      </c>
      <c r="K158" t="s">
        <v>685</v>
      </c>
    </row>
    <row r="159" spans="1:11" x14ac:dyDescent="0.25">
      <c r="A159" t="s">
        <v>11</v>
      </c>
      <c r="B159" t="s">
        <v>284</v>
      </c>
      <c r="C159" t="str">
        <f>"2019-76432"</f>
        <v>2019-76432</v>
      </c>
      <c r="D159" t="s">
        <v>686</v>
      </c>
      <c r="E159" t="s">
        <v>687</v>
      </c>
      <c r="F159" t="s">
        <v>292</v>
      </c>
      <c r="G159" t="s">
        <v>293</v>
      </c>
      <c r="H159" s="1">
        <v>440.48</v>
      </c>
      <c r="I159" s="2">
        <v>43984.333333333336</v>
      </c>
      <c r="J159" s="2">
        <v>43984.833333333336</v>
      </c>
      <c r="K159" t="s">
        <v>688</v>
      </c>
    </row>
    <row r="160" spans="1:11" x14ac:dyDescent="0.25">
      <c r="A160" t="s">
        <v>11</v>
      </c>
      <c r="B160" t="s">
        <v>12</v>
      </c>
      <c r="C160" t="str">
        <f>"0504785500"</f>
        <v>0504785500</v>
      </c>
      <c r="D160" t="s">
        <v>689</v>
      </c>
      <c r="E160" t="s">
        <v>690</v>
      </c>
      <c r="F160" t="s">
        <v>433</v>
      </c>
      <c r="G160" t="s">
        <v>691</v>
      </c>
      <c r="H160" s="1">
        <v>441.26</v>
      </c>
      <c r="I160" s="2">
        <v>43984.333333333336</v>
      </c>
      <c r="J160" s="2">
        <v>43984.833333333336</v>
      </c>
      <c r="K160" t="s">
        <v>692</v>
      </c>
    </row>
    <row r="161" spans="1:11" x14ac:dyDescent="0.25">
      <c r="A161" t="s">
        <v>11</v>
      </c>
      <c r="B161" t="s">
        <v>12</v>
      </c>
      <c r="C161" t="str">
        <f>"0502542500"</f>
        <v>0502542500</v>
      </c>
      <c r="D161" t="s">
        <v>693</v>
      </c>
      <c r="E161" t="s">
        <v>694</v>
      </c>
      <c r="F161" t="s">
        <v>695</v>
      </c>
      <c r="G161" t="s">
        <v>696</v>
      </c>
      <c r="H161" s="1">
        <v>442.15</v>
      </c>
      <c r="I161" s="2">
        <v>43984.333333333336</v>
      </c>
      <c r="J161" s="2">
        <v>43984.833333333336</v>
      </c>
      <c r="K161" t="s">
        <v>697</v>
      </c>
    </row>
    <row r="162" spans="1:11" x14ac:dyDescent="0.25">
      <c r="A162" t="s">
        <v>11</v>
      </c>
      <c r="B162" t="s">
        <v>284</v>
      </c>
      <c r="C162" t="str">
        <f>"2019-83352"</f>
        <v>2019-83352</v>
      </c>
      <c r="D162" t="s">
        <v>451</v>
      </c>
      <c r="E162" t="s">
        <v>452</v>
      </c>
      <c r="F162" t="s">
        <v>453</v>
      </c>
      <c r="G162" t="s">
        <v>454</v>
      </c>
      <c r="H162" s="1">
        <v>442.33</v>
      </c>
      <c r="I162" s="2">
        <v>43984.333333333336</v>
      </c>
      <c r="J162" s="2">
        <v>43984.833333333336</v>
      </c>
      <c r="K162" t="s">
        <v>698</v>
      </c>
    </row>
    <row r="163" spans="1:11" x14ac:dyDescent="0.25">
      <c r="A163" t="s">
        <v>11</v>
      </c>
      <c r="B163" t="s">
        <v>12</v>
      </c>
      <c r="C163" t="str">
        <f>"0503128168"</f>
        <v>0503128168</v>
      </c>
      <c r="D163" t="s">
        <v>699</v>
      </c>
      <c r="E163" t="s">
        <v>700</v>
      </c>
      <c r="F163" t="s">
        <v>701</v>
      </c>
      <c r="G163" t="s">
        <v>702</v>
      </c>
      <c r="H163" s="1">
        <v>442.94</v>
      </c>
      <c r="I163" s="2">
        <v>43984.333333333336</v>
      </c>
      <c r="J163" s="2">
        <v>43984.833333333336</v>
      </c>
      <c r="K163" t="s">
        <v>703</v>
      </c>
    </row>
    <row r="164" spans="1:11" x14ac:dyDescent="0.25">
      <c r="A164" t="s">
        <v>11</v>
      </c>
      <c r="B164" t="s">
        <v>284</v>
      </c>
      <c r="C164" t="str">
        <f>"2019-78388"</f>
        <v>2019-78388</v>
      </c>
      <c r="D164" t="s">
        <v>704</v>
      </c>
      <c r="E164" t="s">
        <v>705</v>
      </c>
      <c r="F164" t="s">
        <v>706</v>
      </c>
      <c r="G164" t="s">
        <v>707</v>
      </c>
      <c r="H164" s="1">
        <v>444.85</v>
      </c>
      <c r="I164" s="2">
        <v>43984.333333333336</v>
      </c>
      <c r="J164" s="2">
        <v>43984.833333333336</v>
      </c>
      <c r="K164" t="s">
        <v>708</v>
      </c>
    </row>
    <row r="165" spans="1:11" x14ac:dyDescent="0.25">
      <c r="A165" t="s">
        <v>11</v>
      </c>
      <c r="B165" t="s">
        <v>284</v>
      </c>
      <c r="C165" t="str">
        <f>"2019-10705"</f>
        <v>2019-10705</v>
      </c>
      <c r="D165" t="s">
        <v>709</v>
      </c>
      <c r="E165" t="s">
        <v>710</v>
      </c>
      <c r="F165" t="s">
        <v>711</v>
      </c>
      <c r="G165" t="s">
        <v>712</v>
      </c>
      <c r="H165" s="1">
        <v>445.41</v>
      </c>
      <c r="I165" s="2">
        <v>43984.333333333336</v>
      </c>
      <c r="J165" s="2">
        <v>43984.833333333336</v>
      </c>
      <c r="K165" t="s">
        <v>713</v>
      </c>
    </row>
    <row r="166" spans="1:11" x14ac:dyDescent="0.25">
      <c r="A166" t="s">
        <v>11</v>
      </c>
      <c r="B166" t="s">
        <v>284</v>
      </c>
      <c r="C166" t="str">
        <f>"2019-32822"</f>
        <v>2019-32822</v>
      </c>
      <c r="D166" t="s">
        <v>456</v>
      </c>
      <c r="E166" t="s">
        <v>457</v>
      </c>
      <c r="F166" t="s">
        <v>25</v>
      </c>
      <c r="G166" t="s">
        <v>26</v>
      </c>
      <c r="H166" s="1">
        <v>445.51</v>
      </c>
      <c r="I166" s="2">
        <v>43984.333333333336</v>
      </c>
      <c r="J166" s="2">
        <v>43984.833333333336</v>
      </c>
      <c r="K166" t="s">
        <v>714</v>
      </c>
    </row>
    <row r="167" spans="1:11" x14ac:dyDescent="0.25">
      <c r="A167" t="s">
        <v>11</v>
      </c>
      <c r="B167" t="s">
        <v>284</v>
      </c>
      <c r="C167" t="str">
        <f>"2019-67663"</f>
        <v>2019-67663</v>
      </c>
      <c r="D167" t="s">
        <v>715</v>
      </c>
      <c r="E167" t="s">
        <v>716</v>
      </c>
      <c r="F167" t="s">
        <v>717</v>
      </c>
      <c r="G167" t="s">
        <v>718</v>
      </c>
      <c r="H167" s="1">
        <v>445.71</v>
      </c>
      <c r="I167" s="2">
        <v>43984.333333333336</v>
      </c>
      <c r="J167" s="2">
        <v>43984.833333333336</v>
      </c>
      <c r="K167" t="s">
        <v>719</v>
      </c>
    </row>
    <row r="168" spans="1:11" x14ac:dyDescent="0.25">
      <c r="A168" t="s">
        <v>11</v>
      </c>
      <c r="B168" t="s">
        <v>284</v>
      </c>
      <c r="C168" t="str">
        <f>"2019-26973"</f>
        <v>2019-26973</v>
      </c>
      <c r="D168" t="s">
        <v>720</v>
      </c>
      <c r="E168" t="s">
        <v>721</v>
      </c>
      <c r="F168" t="s">
        <v>80</v>
      </c>
      <c r="G168" t="s">
        <v>191</v>
      </c>
      <c r="H168" s="1">
        <v>446.21</v>
      </c>
      <c r="I168" s="2">
        <v>43984.333333333336</v>
      </c>
      <c r="J168" s="2">
        <v>43984.833333333336</v>
      </c>
      <c r="K168" t="s">
        <v>722</v>
      </c>
    </row>
    <row r="169" spans="1:11" x14ac:dyDescent="0.25">
      <c r="A169" t="s">
        <v>11</v>
      </c>
      <c r="B169" t="s">
        <v>284</v>
      </c>
      <c r="C169" t="str">
        <f>"2019-73758"</f>
        <v>2019-73758</v>
      </c>
      <c r="D169" t="s">
        <v>723</v>
      </c>
      <c r="E169" t="s">
        <v>724</v>
      </c>
      <c r="F169" t="s">
        <v>725</v>
      </c>
      <c r="G169" t="s">
        <v>726</v>
      </c>
      <c r="H169" s="1">
        <v>446.25</v>
      </c>
      <c r="I169" s="2">
        <v>43984.333333333336</v>
      </c>
      <c r="J169" s="2">
        <v>43984.833333333336</v>
      </c>
      <c r="K169" t="s">
        <v>727</v>
      </c>
    </row>
    <row r="170" spans="1:11" x14ac:dyDescent="0.25">
      <c r="A170" t="s">
        <v>11</v>
      </c>
      <c r="B170" t="s">
        <v>284</v>
      </c>
      <c r="C170" t="str">
        <f>"2019-12368"</f>
        <v>2019-12368</v>
      </c>
      <c r="D170" t="s">
        <v>728</v>
      </c>
      <c r="E170" t="s">
        <v>729</v>
      </c>
      <c r="F170" t="s">
        <v>730</v>
      </c>
      <c r="G170" t="s">
        <v>731</v>
      </c>
      <c r="H170" s="1">
        <v>447.3</v>
      </c>
      <c r="I170" s="2">
        <v>43984.333333333336</v>
      </c>
      <c r="J170" s="2">
        <v>43984.833333333336</v>
      </c>
      <c r="K170" t="s">
        <v>732</v>
      </c>
    </row>
    <row r="171" spans="1:11" x14ac:dyDescent="0.25">
      <c r="A171" t="s">
        <v>11</v>
      </c>
      <c r="B171" t="s">
        <v>12</v>
      </c>
      <c r="C171" t="str">
        <f>"0504175500"</f>
        <v>0504175500</v>
      </c>
      <c r="D171" t="s">
        <v>733</v>
      </c>
      <c r="E171" t="s">
        <v>734</v>
      </c>
      <c r="F171" t="s">
        <v>735</v>
      </c>
      <c r="G171" t="s">
        <v>736</v>
      </c>
      <c r="H171" s="1">
        <v>447.64</v>
      </c>
      <c r="I171" s="2">
        <v>43984.333333333336</v>
      </c>
      <c r="J171" s="2">
        <v>43984.833333333336</v>
      </c>
      <c r="K171" t="s">
        <v>737</v>
      </c>
    </row>
    <row r="172" spans="1:11" x14ac:dyDescent="0.25">
      <c r="A172" t="s">
        <v>11</v>
      </c>
      <c r="B172" t="s">
        <v>284</v>
      </c>
      <c r="C172" t="str">
        <f>"2019-83541"</f>
        <v>2019-83541</v>
      </c>
      <c r="D172" t="s">
        <v>738</v>
      </c>
      <c r="E172" t="s">
        <v>739</v>
      </c>
      <c r="F172" t="s">
        <v>740</v>
      </c>
      <c r="G172" t="s">
        <v>741</v>
      </c>
      <c r="H172" s="1">
        <v>447.81</v>
      </c>
      <c r="I172" s="2">
        <v>43984.333333333336</v>
      </c>
      <c r="J172" s="2">
        <v>43984.833333333336</v>
      </c>
      <c r="K172" t="s">
        <v>742</v>
      </c>
    </row>
    <row r="173" spans="1:11" x14ac:dyDescent="0.25">
      <c r="A173" t="s">
        <v>11</v>
      </c>
      <c r="B173" t="s">
        <v>12</v>
      </c>
      <c r="C173" t="str">
        <f>"0500826495"</f>
        <v>0500826495</v>
      </c>
      <c r="D173" t="s">
        <v>743</v>
      </c>
      <c r="E173" t="s">
        <v>744</v>
      </c>
      <c r="F173" t="s">
        <v>15</v>
      </c>
      <c r="G173" t="s">
        <v>16</v>
      </c>
      <c r="H173" s="1">
        <v>450.13</v>
      </c>
      <c r="I173" s="2">
        <v>43984.333333333336</v>
      </c>
      <c r="J173" s="2">
        <v>43984.833333333336</v>
      </c>
      <c r="K173" t="s">
        <v>745</v>
      </c>
    </row>
    <row r="174" spans="1:11" x14ac:dyDescent="0.25">
      <c r="A174" t="s">
        <v>11</v>
      </c>
      <c r="B174" t="s">
        <v>284</v>
      </c>
      <c r="C174" t="str">
        <f>"2019-18377"</f>
        <v>2019-18377</v>
      </c>
      <c r="D174" t="s">
        <v>746</v>
      </c>
      <c r="E174" t="s">
        <v>747</v>
      </c>
      <c r="F174" t="s">
        <v>748</v>
      </c>
      <c r="G174" t="s">
        <v>749</v>
      </c>
      <c r="H174" s="1">
        <v>450.56</v>
      </c>
      <c r="I174" s="2">
        <v>43984.333333333336</v>
      </c>
      <c r="J174" s="2">
        <v>43984.833333333336</v>
      </c>
      <c r="K174" t="s">
        <v>750</v>
      </c>
    </row>
    <row r="175" spans="1:11" x14ac:dyDescent="0.25">
      <c r="A175" t="s">
        <v>11</v>
      </c>
      <c r="B175" t="s">
        <v>12</v>
      </c>
      <c r="C175" t="str">
        <f>"0501320000"</f>
        <v>0501320000</v>
      </c>
      <c r="D175" t="s">
        <v>751</v>
      </c>
      <c r="E175" t="s">
        <v>752</v>
      </c>
      <c r="F175" t="s">
        <v>753</v>
      </c>
      <c r="G175" t="s">
        <v>754</v>
      </c>
      <c r="H175" s="1">
        <v>451.53</v>
      </c>
      <c r="I175" s="2">
        <v>43984.333333333336</v>
      </c>
      <c r="J175" s="2">
        <v>43984.833333333336</v>
      </c>
      <c r="K175" t="s">
        <v>755</v>
      </c>
    </row>
    <row r="176" spans="1:11" x14ac:dyDescent="0.25">
      <c r="A176" t="s">
        <v>11</v>
      </c>
      <c r="B176" t="s">
        <v>284</v>
      </c>
      <c r="C176" t="str">
        <f>"2019-77606"</f>
        <v>2019-77606</v>
      </c>
      <c r="D176" t="s">
        <v>756</v>
      </c>
      <c r="E176" t="s">
        <v>757</v>
      </c>
      <c r="F176" t="s">
        <v>758</v>
      </c>
      <c r="G176" t="s">
        <v>759</v>
      </c>
      <c r="H176" s="1">
        <v>452.36</v>
      </c>
      <c r="I176" s="2">
        <v>43984.333333333336</v>
      </c>
      <c r="J176" s="2">
        <v>43984.833333333336</v>
      </c>
      <c r="K176" t="s">
        <v>760</v>
      </c>
    </row>
    <row r="177" spans="1:11" x14ac:dyDescent="0.25">
      <c r="A177" t="s">
        <v>11</v>
      </c>
      <c r="B177" t="s">
        <v>284</v>
      </c>
      <c r="C177" t="str">
        <f>"2019-59977"</f>
        <v>2019-59977</v>
      </c>
      <c r="D177" t="s">
        <v>761</v>
      </c>
      <c r="E177" t="s">
        <v>762</v>
      </c>
      <c r="F177" t="s">
        <v>763</v>
      </c>
      <c r="G177" t="s">
        <v>764</v>
      </c>
      <c r="H177" s="1">
        <v>452.41</v>
      </c>
      <c r="I177" s="2">
        <v>43984.333333333336</v>
      </c>
      <c r="J177" s="2">
        <v>43984.833333333336</v>
      </c>
      <c r="K177" t="s">
        <v>765</v>
      </c>
    </row>
    <row r="178" spans="1:11" x14ac:dyDescent="0.25">
      <c r="A178" t="s">
        <v>11</v>
      </c>
      <c r="B178" t="s">
        <v>12</v>
      </c>
      <c r="C178" t="str">
        <f>"0505257000B"</f>
        <v>0505257000B</v>
      </c>
      <c r="D178" t="s">
        <v>766</v>
      </c>
      <c r="E178" t="s">
        <v>767</v>
      </c>
      <c r="F178" t="s">
        <v>90</v>
      </c>
      <c r="G178" t="s">
        <v>91</v>
      </c>
      <c r="H178" s="1">
        <v>452.51</v>
      </c>
      <c r="I178" s="2">
        <v>43984.333333333336</v>
      </c>
      <c r="J178" s="2">
        <v>43984.833333333336</v>
      </c>
      <c r="K178" t="s">
        <v>768</v>
      </c>
    </row>
    <row r="179" spans="1:11" x14ac:dyDescent="0.25">
      <c r="A179" t="s">
        <v>11</v>
      </c>
      <c r="B179" t="s">
        <v>284</v>
      </c>
      <c r="C179" t="str">
        <f>"2019-27245"</f>
        <v>2019-27245</v>
      </c>
      <c r="D179" t="s">
        <v>769</v>
      </c>
      <c r="E179" t="s">
        <v>770</v>
      </c>
      <c r="F179" t="s">
        <v>771</v>
      </c>
      <c r="G179" t="s">
        <v>772</v>
      </c>
      <c r="H179" s="1">
        <v>452.62</v>
      </c>
      <c r="I179" s="2">
        <v>43984.333333333336</v>
      </c>
      <c r="J179" s="2">
        <v>43984.833333333336</v>
      </c>
      <c r="K179" t="s">
        <v>773</v>
      </c>
    </row>
    <row r="180" spans="1:11" x14ac:dyDescent="0.25">
      <c r="A180" t="s">
        <v>11</v>
      </c>
      <c r="B180" t="s">
        <v>12</v>
      </c>
      <c r="C180" t="str">
        <f>"0503316490"</f>
        <v>0503316490</v>
      </c>
      <c r="D180" t="s">
        <v>774</v>
      </c>
      <c r="E180" t="s">
        <v>775</v>
      </c>
      <c r="F180" t="s">
        <v>776</v>
      </c>
      <c r="G180" t="s">
        <v>777</v>
      </c>
      <c r="H180" s="1">
        <v>452.92</v>
      </c>
      <c r="I180" s="2">
        <v>43984.333333333336</v>
      </c>
      <c r="J180" s="2">
        <v>43984.833333333336</v>
      </c>
      <c r="K180" t="s">
        <v>778</v>
      </c>
    </row>
    <row r="181" spans="1:11" x14ac:dyDescent="0.25">
      <c r="A181" t="s">
        <v>11</v>
      </c>
      <c r="B181" t="s">
        <v>284</v>
      </c>
      <c r="C181" t="str">
        <f>"2019-14674"</f>
        <v>2019-14674</v>
      </c>
      <c r="D181" t="s">
        <v>779</v>
      </c>
      <c r="E181" t="s">
        <v>780</v>
      </c>
      <c r="F181" t="s">
        <v>781</v>
      </c>
      <c r="G181" t="s">
        <v>782</v>
      </c>
      <c r="H181" s="1">
        <v>454.64</v>
      </c>
      <c r="I181" s="2">
        <v>43984.333333333336</v>
      </c>
      <c r="J181" s="2">
        <v>43984.833333333336</v>
      </c>
      <c r="K181" t="s">
        <v>783</v>
      </c>
    </row>
    <row r="182" spans="1:11" x14ac:dyDescent="0.25">
      <c r="A182" t="s">
        <v>11</v>
      </c>
      <c r="B182" t="s">
        <v>12</v>
      </c>
      <c r="C182" t="str">
        <f>"0500151001A"</f>
        <v>0500151001A</v>
      </c>
      <c r="D182" t="s">
        <v>784</v>
      </c>
      <c r="E182" t="s">
        <v>785</v>
      </c>
      <c r="F182" t="s">
        <v>786</v>
      </c>
      <c r="G182" t="s">
        <v>787</v>
      </c>
      <c r="H182" s="1">
        <v>455.99</v>
      </c>
      <c r="I182" s="2">
        <v>43984.333333333336</v>
      </c>
      <c r="J182" s="2">
        <v>43984.833333333336</v>
      </c>
      <c r="K182" t="s">
        <v>788</v>
      </c>
    </row>
    <row r="183" spans="1:11" x14ac:dyDescent="0.25">
      <c r="A183" t="s">
        <v>11</v>
      </c>
      <c r="B183" t="s">
        <v>284</v>
      </c>
      <c r="C183" t="str">
        <f>"2019-87225"</f>
        <v>2019-87225</v>
      </c>
      <c r="D183" t="s">
        <v>789</v>
      </c>
      <c r="E183" t="s">
        <v>467</v>
      </c>
      <c r="F183" t="s">
        <v>25</v>
      </c>
      <c r="G183" t="s">
        <v>26</v>
      </c>
      <c r="H183" s="1">
        <v>456.6</v>
      </c>
      <c r="I183" s="2">
        <v>43984.333333333336</v>
      </c>
      <c r="J183" s="2">
        <v>43984.833333333336</v>
      </c>
      <c r="K183" t="s">
        <v>790</v>
      </c>
    </row>
    <row r="184" spans="1:11" x14ac:dyDescent="0.25">
      <c r="A184" t="s">
        <v>11</v>
      </c>
      <c r="B184" t="s">
        <v>284</v>
      </c>
      <c r="C184" t="str">
        <f>"2019-83160"</f>
        <v>2019-83160</v>
      </c>
      <c r="D184" t="s">
        <v>412</v>
      </c>
      <c r="E184" t="s">
        <v>469</v>
      </c>
      <c r="F184" t="s">
        <v>25</v>
      </c>
      <c r="G184" t="s">
        <v>26</v>
      </c>
      <c r="H184" s="1">
        <v>456.6</v>
      </c>
      <c r="I184" s="2">
        <v>43984.333333333336</v>
      </c>
      <c r="J184" s="2">
        <v>43984.833333333336</v>
      </c>
      <c r="K184" t="s">
        <v>791</v>
      </c>
    </row>
    <row r="185" spans="1:11" x14ac:dyDescent="0.25">
      <c r="A185" t="s">
        <v>11</v>
      </c>
      <c r="B185" t="s">
        <v>12</v>
      </c>
      <c r="C185" t="str">
        <f>"0502838000"</f>
        <v>0502838000</v>
      </c>
      <c r="D185" t="s">
        <v>792</v>
      </c>
      <c r="E185" t="s">
        <v>793</v>
      </c>
      <c r="F185" t="s">
        <v>794</v>
      </c>
      <c r="G185" t="s">
        <v>795</v>
      </c>
      <c r="H185" s="1">
        <v>456.6</v>
      </c>
      <c r="I185" s="2">
        <v>43984.333333333336</v>
      </c>
      <c r="J185" s="2">
        <v>43984.833333333336</v>
      </c>
      <c r="K185" t="s">
        <v>796</v>
      </c>
    </row>
    <row r="186" spans="1:11" x14ac:dyDescent="0.25">
      <c r="A186" t="s">
        <v>11</v>
      </c>
      <c r="B186" t="s">
        <v>12</v>
      </c>
      <c r="C186" t="str">
        <f>"0503704012"</f>
        <v>0503704012</v>
      </c>
      <c r="D186" t="s">
        <v>797</v>
      </c>
      <c r="E186" t="s">
        <v>798</v>
      </c>
      <c r="F186" t="s">
        <v>519</v>
      </c>
      <c r="G186" t="s">
        <v>520</v>
      </c>
      <c r="H186" s="1">
        <v>456.73</v>
      </c>
      <c r="I186" s="2">
        <v>43984.333333333336</v>
      </c>
      <c r="J186" s="2">
        <v>43984.833333333336</v>
      </c>
      <c r="K186" t="s">
        <v>799</v>
      </c>
    </row>
    <row r="187" spans="1:11" x14ac:dyDescent="0.25">
      <c r="A187" t="s">
        <v>11</v>
      </c>
      <c r="B187" t="s">
        <v>12</v>
      </c>
      <c r="C187" t="str">
        <f>"0503812500"</f>
        <v>0503812500</v>
      </c>
      <c r="D187" t="s">
        <v>800</v>
      </c>
      <c r="E187" t="s">
        <v>801</v>
      </c>
      <c r="F187" t="s">
        <v>802</v>
      </c>
      <c r="G187" t="s">
        <v>803</v>
      </c>
      <c r="H187" s="1">
        <v>456.8</v>
      </c>
      <c r="I187" s="2">
        <v>43984.333333333336</v>
      </c>
      <c r="J187" s="2">
        <v>43984.833333333336</v>
      </c>
      <c r="K187" t="s">
        <v>804</v>
      </c>
    </row>
    <row r="188" spans="1:11" x14ac:dyDescent="0.25">
      <c r="A188" t="s">
        <v>11</v>
      </c>
      <c r="B188" t="s">
        <v>284</v>
      </c>
      <c r="C188" t="str">
        <f>"2019-15924"</f>
        <v>2019-15924</v>
      </c>
      <c r="D188" t="s">
        <v>805</v>
      </c>
      <c r="E188" t="s">
        <v>806</v>
      </c>
      <c r="F188" t="s">
        <v>807</v>
      </c>
      <c r="G188" t="s">
        <v>808</v>
      </c>
      <c r="H188" s="1">
        <v>458.43</v>
      </c>
      <c r="I188" s="2">
        <v>43984.333333333336</v>
      </c>
      <c r="J188" s="2">
        <v>43984.833333333336</v>
      </c>
      <c r="K188" t="s">
        <v>809</v>
      </c>
    </row>
    <row r="189" spans="1:11" x14ac:dyDescent="0.25">
      <c r="A189" t="s">
        <v>11</v>
      </c>
      <c r="B189" t="s">
        <v>284</v>
      </c>
      <c r="C189" t="str">
        <f>"2019-83503"</f>
        <v>2019-83503</v>
      </c>
      <c r="D189" t="s">
        <v>810</v>
      </c>
      <c r="E189" t="s">
        <v>811</v>
      </c>
      <c r="F189" t="s">
        <v>812</v>
      </c>
      <c r="G189" t="s">
        <v>813</v>
      </c>
      <c r="H189" s="1">
        <v>459.03</v>
      </c>
      <c r="I189" s="2">
        <v>43984.333333333336</v>
      </c>
      <c r="J189" s="2">
        <v>43984.833333333336</v>
      </c>
      <c r="K189" t="s">
        <v>814</v>
      </c>
    </row>
    <row r="190" spans="1:11" x14ac:dyDescent="0.25">
      <c r="A190" t="s">
        <v>11</v>
      </c>
      <c r="B190" t="s">
        <v>284</v>
      </c>
      <c r="C190" t="str">
        <f>"2019-81827"</f>
        <v>2019-81827</v>
      </c>
      <c r="D190" t="s">
        <v>815</v>
      </c>
      <c r="E190" t="s">
        <v>816</v>
      </c>
      <c r="F190" t="s">
        <v>817</v>
      </c>
      <c r="G190" t="s">
        <v>818</v>
      </c>
      <c r="H190" s="1">
        <v>459.03</v>
      </c>
      <c r="I190" s="2">
        <v>43984.333333333336</v>
      </c>
      <c r="J190" s="2">
        <v>43984.833333333336</v>
      </c>
      <c r="K190" t="s">
        <v>819</v>
      </c>
    </row>
    <row r="191" spans="1:11" x14ac:dyDescent="0.25">
      <c r="A191" t="s">
        <v>11</v>
      </c>
      <c r="B191" t="s">
        <v>284</v>
      </c>
      <c r="C191" t="str">
        <f>"2019-41717"</f>
        <v>2019-41717</v>
      </c>
      <c r="D191" t="s">
        <v>820</v>
      </c>
      <c r="E191" t="s">
        <v>821</v>
      </c>
      <c r="F191" t="s">
        <v>822</v>
      </c>
      <c r="G191" t="s">
        <v>823</v>
      </c>
      <c r="H191" s="1">
        <v>460.07</v>
      </c>
      <c r="I191" s="2">
        <v>43984.333333333336</v>
      </c>
      <c r="J191" s="2">
        <v>43984.833333333336</v>
      </c>
      <c r="K191" t="s">
        <v>824</v>
      </c>
    </row>
    <row r="192" spans="1:11" x14ac:dyDescent="0.25">
      <c r="A192" t="s">
        <v>11</v>
      </c>
      <c r="B192" t="s">
        <v>12</v>
      </c>
      <c r="C192" t="str">
        <f>"0500352500"</f>
        <v>0500352500</v>
      </c>
      <c r="D192" t="s">
        <v>825</v>
      </c>
      <c r="E192" t="s">
        <v>826</v>
      </c>
      <c r="F192" t="s">
        <v>827</v>
      </c>
      <c r="G192" t="s">
        <v>828</v>
      </c>
      <c r="H192" s="1">
        <v>461.33</v>
      </c>
      <c r="I192" s="2">
        <v>43984.333333333336</v>
      </c>
      <c r="J192" s="2">
        <v>43984.833333333336</v>
      </c>
      <c r="K192" t="s">
        <v>829</v>
      </c>
    </row>
    <row r="193" spans="1:11" x14ac:dyDescent="0.25">
      <c r="A193" t="s">
        <v>11</v>
      </c>
      <c r="B193" t="s">
        <v>284</v>
      </c>
      <c r="C193" t="str">
        <f>"2019-16033"</f>
        <v>2019-16033</v>
      </c>
      <c r="D193" t="s">
        <v>830</v>
      </c>
      <c r="E193" t="s">
        <v>831</v>
      </c>
      <c r="F193" t="s">
        <v>832</v>
      </c>
      <c r="G193" t="s">
        <v>833</v>
      </c>
      <c r="H193" s="1">
        <v>462.48</v>
      </c>
      <c r="I193" s="2">
        <v>43984.333333333336</v>
      </c>
      <c r="J193" s="2">
        <v>43984.833333333336</v>
      </c>
      <c r="K193" t="s">
        <v>834</v>
      </c>
    </row>
    <row r="194" spans="1:11" x14ac:dyDescent="0.25">
      <c r="A194" t="s">
        <v>11</v>
      </c>
      <c r="B194" t="s">
        <v>284</v>
      </c>
      <c r="C194" t="str">
        <f>"2019-25464"</f>
        <v>2019-25464</v>
      </c>
      <c r="D194" t="s">
        <v>835</v>
      </c>
      <c r="E194" t="s">
        <v>836</v>
      </c>
      <c r="F194" t="s">
        <v>837</v>
      </c>
      <c r="G194" t="s">
        <v>838</v>
      </c>
      <c r="H194" s="1">
        <v>463.03</v>
      </c>
      <c r="I194" s="2">
        <v>43984.333333333336</v>
      </c>
      <c r="J194" s="2">
        <v>43984.833333333336</v>
      </c>
      <c r="K194" t="s">
        <v>839</v>
      </c>
    </row>
    <row r="195" spans="1:11" x14ac:dyDescent="0.25">
      <c r="A195" t="s">
        <v>11</v>
      </c>
      <c r="B195" t="s">
        <v>284</v>
      </c>
      <c r="C195" t="str">
        <f>"2019-39562"</f>
        <v>2019-39562</v>
      </c>
      <c r="D195" t="s">
        <v>840</v>
      </c>
      <c r="E195" t="s">
        <v>841</v>
      </c>
      <c r="F195" t="s">
        <v>842</v>
      </c>
      <c r="G195" t="s">
        <v>843</v>
      </c>
      <c r="H195" s="1">
        <v>463.86</v>
      </c>
      <c r="I195" s="2">
        <v>43984.333333333336</v>
      </c>
      <c r="J195" s="2">
        <v>43984.833333333336</v>
      </c>
      <c r="K195" t="s">
        <v>844</v>
      </c>
    </row>
    <row r="196" spans="1:11" x14ac:dyDescent="0.25">
      <c r="A196" t="s">
        <v>11</v>
      </c>
      <c r="B196" t="s">
        <v>12</v>
      </c>
      <c r="C196" t="str">
        <f>"0500034500"</f>
        <v>0500034500</v>
      </c>
      <c r="D196" t="s">
        <v>845</v>
      </c>
      <c r="E196" t="s">
        <v>846</v>
      </c>
      <c r="F196" t="s">
        <v>847</v>
      </c>
      <c r="G196" t="s">
        <v>848</v>
      </c>
      <c r="H196" s="1">
        <v>464.19</v>
      </c>
      <c r="I196" s="2">
        <v>43984.333333333336</v>
      </c>
      <c r="J196" s="2">
        <v>43984.833333333336</v>
      </c>
      <c r="K196" t="s">
        <v>849</v>
      </c>
    </row>
    <row r="197" spans="1:11" x14ac:dyDescent="0.25">
      <c r="A197" t="s">
        <v>11</v>
      </c>
      <c r="B197" t="s">
        <v>284</v>
      </c>
      <c r="C197" t="str">
        <f>"2019-33549"</f>
        <v>2019-33549</v>
      </c>
      <c r="D197" t="s">
        <v>850</v>
      </c>
      <c r="E197" t="s">
        <v>851</v>
      </c>
      <c r="F197" t="s">
        <v>852</v>
      </c>
      <c r="G197" t="s">
        <v>853</v>
      </c>
      <c r="H197" s="1">
        <v>465.93</v>
      </c>
      <c r="I197" s="2">
        <v>43984.333333333336</v>
      </c>
      <c r="J197" s="2">
        <v>43984.833333333336</v>
      </c>
      <c r="K197" t="s">
        <v>854</v>
      </c>
    </row>
    <row r="198" spans="1:11" x14ac:dyDescent="0.25">
      <c r="A198" t="s">
        <v>11</v>
      </c>
      <c r="B198" t="s">
        <v>284</v>
      </c>
      <c r="C198" t="str">
        <f>"2019-59967"</f>
        <v>2019-59967</v>
      </c>
      <c r="D198" t="s">
        <v>855</v>
      </c>
      <c r="E198" t="s">
        <v>856</v>
      </c>
      <c r="F198" t="s">
        <v>857</v>
      </c>
      <c r="G198" t="s">
        <v>858</v>
      </c>
      <c r="H198" s="1">
        <v>466.08</v>
      </c>
      <c r="I198" s="2">
        <v>43984.333333333336</v>
      </c>
      <c r="J198" s="2">
        <v>43984.833333333336</v>
      </c>
      <c r="K198" t="s">
        <v>859</v>
      </c>
    </row>
    <row r="199" spans="1:11" x14ac:dyDescent="0.25">
      <c r="A199" t="s">
        <v>11</v>
      </c>
      <c r="B199" t="s">
        <v>12</v>
      </c>
      <c r="C199" t="str">
        <f>"0505243990"</f>
        <v>0505243990</v>
      </c>
      <c r="D199" t="s">
        <v>860</v>
      </c>
      <c r="E199" t="s">
        <v>861</v>
      </c>
      <c r="F199" t="s">
        <v>862</v>
      </c>
      <c r="G199" t="s">
        <v>863</v>
      </c>
      <c r="H199" s="1">
        <v>466.93</v>
      </c>
      <c r="I199" s="2">
        <v>43984.333333333336</v>
      </c>
      <c r="J199" s="2">
        <v>43984.833333333336</v>
      </c>
      <c r="K199" t="s">
        <v>864</v>
      </c>
    </row>
    <row r="200" spans="1:11" x14ac:dyDescent="0.25">
      <c r="A200" t="s">
        <v>11</v>
      </c>
      <c r="B200" t="s">
        <v>12</v>
      </c>
      <c r="C200" t="str">
        <f>"0501094500"</f>
        <v>0501094500</v>
      </c>
      <c r="D200" t="s">
        <v>865</v>
      </c>
      <c r="E200" t="s">
        <v>866</v>
      </c>
      <c r="F200" t="s">
        <v>867</v>
      </c>
      <c r="G200" t="s">
        <v>868</v>
      </c>
      <c r="H200" s="1">
        <v>470.17</v>
      </c>
      <c r="I200" s="2">
        <v>43984.333333333336</v>
      </c>
      <c r="J200" s="2">
        <v>43984.833333333336</v>
      </c>
      <c r="K200" t="s">
        <v>869</v>
      </c>
    </row>
    <row r="201" spans="1:11" x14ac:dyDescent="0.25">
      <c r="A201" t="s">
        <v>11</v>
      </c>
      <c r="B201" t="s">
        <v>284</v>
      </c>
      <c r="C201" t="str">
        <f>"2019-31536"</f>
        <v>2019-31536</v>
      </c>
      <c r="D201" t="s">
        <v>173</v>
      </c>
      <c r="E201" t="s">
        <v>174</v>
      </c>
      <c r="F201" t="s">
        <v>175</v>
      </c>
      <c r="G201" t="s">
        <v>176</v>
      </c>
      <c r="H201" s="1">
        <v>470.79</v>
      </c>
      <c r="I201" s="2">
        <v>43984.333333333336</v>
      </c>
      <c r="J201" s="2">
        <v>43984.833333333336</v>
      </c>
      <c r="K201" t="s">
        <v>870</v>
      </c>
    </row>
    <row r="202" spans="1:11" x14ac:dyDescent="0.25">
      <c r="A202" t="s">
        <v>11</v>
      </c>
      <c r="B202" t="s">
        <v>12</v>
      </c>
      <c r="C202" t="str">
        <f>"0504866000"</f>
        <v>0504866000</v>
      </c>
      <c r="D202" t="s">
        <v>871</v>
      </c>
      <c r="E202" t="s">
        <v>872</v>
      </c>
      <c r="F202" t="s">
        <v>372</v>
      </c>
      <c r="G202" t="s">
        <v>282</v>
      </c>
      <c r="H202" s="1">
        <v>472.56</v>
      </c>
      <c r="I202" s="2">
        <v>43984.333333333336</v>
      </c>
      <c r="J202" s="2">
        <v>43984.833333333336</v>
      </c>
      <c r="K202" t="s">
        <v>873</v>
      </c>
    </row>
    <row r="203" spans="1:11" x14ac:dyDescent="0.25">
      <c r="A203" t="s">
        <v>11</v>
      </c>
      <c r="B203" t="s">
        <v>284</v>
      </c>
      <c r="C203" t="str">
        <f>"2019-59622"</f>
        <v>2019-59622</v>
      </c>
      <c r="D203" t="s">
        <v>874</v>
      </c>
      <c r="E203" t="s">
        <v>875</v>
      </c>
      <c r="F203" t="s">
        <v>876</v>
      </c>
      <c r="G203" t="s">
        <v>377</v>
      </c>
      <c r="H203" s="1">
        <v>472.57</v>
      </c>
      <c r="I203" s="2">
        <v>43984.333333333336</v>
      </c>
      <c r="J203" s="2">
        <v>43984.833333333336</v>
      </c>
      <c r="K203" t="s">
        <v>877</v>
      </c>
    </row>
    <row r="204" spans="1:11" x14ac:dyDescent="0.25">
      <c r="A204" t="s">
        <v>11</v>
      </c>
      <c r="B204" t="s">
        <v>284</v>
      </c>
      <c r="C204" t="str">
        <f>"2019-75165"</f>
        <v>2019-75165</v>
      </c>
      <c r="D204" t="s">
        <v>878</v>
      </c>
      <c r="E204" t="s">
        <v>179</v>
      </c>
      <c r="F204" t="s">
        <v>25</v>
      </c>
      <c r="G204" t="s">
        <v>26</v>
      </c>
      <c r="H204" s="1">
        <v>473</v>
      </c>
      <c r="I204" s="2">
        <v>43984.333333333336</v>
      </c>
      <c r="J204" s="2">
        <v>43984.833333333336</v>
      </c>
      <c r="K204" t="s">
        <v>879</v>
      </c>
    </row>
    <row r="205" spans="1:11" x14ac:dyDescent="0.25">
      <c r="A205" t="s">
        <v>11</v>
      </c>
      <c r="B205" t="s">
        <v>284</v>
      </c>
      <c r="C205" t="str">
        <f>"2019-79794"</f>
        <v>2019-79794</v>
      </c>
      <c r="D205" t="s">
        <v>880</v>
      </c>
      <c r="E205" t="s">
        <v>881</v>
      </c>
      <c r="F205" t="s">
        <v>882</v>
      </c>
      <c r="G205" t="s">
        <v>610</v>
      </c>
      <c r="H205" s="1">
        <v>473.75</v>
      </c>
      <c r="I205" s="2">
        <v>43984.333333333336</v>
      </c>
      <c r="J205" s="2">
        <v>43984.833333333336</v>
      </c>
      <c r="K205" t="s">
        <v>883</v>
      </c>
    </row>
    <row r="206" spans="1:11" x14ac:dyDescent="0.25">
      <c r="A206" t="s">
        <v>11</v>
      </c>
      <c r="B206" t="s">
        <v>284</v>
      </c>
      <c r="C206" t="str">
        <f>"2019-12709"</f>
        <v>2019-12709</v>
      </c>
      <c r="D206" t="s">
        <v>884</v>
      </c>
      <c r="E206" t="s">
        <v>885</v>
      </c>
      <c r="F206" t="s">
        <v>886</v>
      </c>
      <c r="G206" t="s">
        <v>887</v>
      </c>
      <c r="H206" s="1">
        <v>474.51</v>
      </c>
      <c r="I206" s="2">
        <v>43984.333333333336</v>
      </c>
      <c r="J206" s="2">
        <v>43984.833333333336</v>
      </c>
      <c r="K206" t="s">
        <v>888</v>
      </c>
    </row>
    <row r="207" spans="1:11" x14ac:dyDescent="0.25">
      <c r="A207" t="s">
        <v>11</v>
      </c>
      <c r="B207" t="s">
        <v>12</v>
      </c>
      <c r="C207" t="str">
        <f>"0505257000A"</f>
        <v>0505257000A</v>
      </c>
      <c r="D207" t="s">
        <v>889</v>
      </c>
      <c r="E207" t="s">
        <v>890</v>
      </c>
      <c r="F207" t="s">
        <v>90</v>
      </c>
      <c r="G207" t="s">
        <v>91</v>
      </c>
      <c r="H207" s="1">
        <v>475.26</v>
      </c>
      <c r="I207" s="2">
        <v>43984.333333333336</v>
      </c>
      <c r="J207" s="2">
        <v>43984.833333333336</v>
      </c>
      <c r="K207" t="s">
        <v>891</v>
      </c>
    </row>
    <row r="208" spans="1:11" x14ac:dyDescent="0.25">
      <c r="A208" t="s">
        <v>11</v>
      </c>
      <c r="B208" t="s">
        <v>12</v>
      </c>
      <c r="C208" t="str">
        <f>"0504870500"</f>
        <v>0504870500</v>
      </c>
      <c r="D208" t="s">
        <v>892</v>
      </c>
      <c r="E208" t="s">
        <v>893</v>
      </c>
      <c r="F208" t="s">
        <v>894</v>
      </c>
      <c r="G208" t="s">
        <v>895</v>
      </c>
      <c r="H208" s="1">
        <v>475.31</v>
      </c>
      <c r="I208" s="2">
        <v>43984.333333333336</v>
      </c>
      <c r="J208" s="2">
        <v>43984.833333333336</v>
      </c>
      <c r="K208" t="s">
        <v>896</v>
      </c>
    </row>
    <row r="209" spans="1:11" x14ac:dyDescent="0.25">
      <c r="A209" t="s">
        <v>11</v>
      </c>
      <c r="B209" t="s">
        <v>284</v>
      </c>
      <c r="C209" t="str">
        <f>"2019-22295"</f>
        <v>2019-22295</v>
      </c>
      <c r="D209" t="s">
        <v>897</v>
      </c>
      <c r="E209" t="s">
        <v>898</v>
      </c>
      <c r="F209" t="s">
        <v>899</v>
      </c>
      <c r="G209" t="s">
        <v>900</v>
      </c>
      <c r="H209" s="1">
        <v>475.87</v>
      </c>
      <c r="I209" s="2">
        <v>43984.333333333336</v>
      </c>
      <c r="J209" s="2">
        <v>43984.833333333336</v>
      </c>
      <c r="K209" t="s">
        <v>901</v>
      </c>
    </row>
    <row r="210" spans="1:11" x14ac:dyDescent="0.25">
      <c r="A210" t="s">
        <v>11</v>
      </c>
      <c r="B210" t="s">
        <v>284</v>
      </c>
      <c r="C210" t="str">
        <f>"2019-43074"</f>
        <v>2019-43074</v>
      </c>
      <c r="D210" t="s">
        <v>902</v>
      </c>
      <c r="E210" t="s">
        <v>903</v>
      </c>
      <c r="F210" t="s">
        <v>904</v>
      </c>
      <c r="G210" t="s">
        <v>610</v>
      </c>
      <c r="H210" s="1">
        <v>475.96</v>
      </c>
      <c r="I210" s="2">
        <v>43984.333333333336</v>
      </c>
      <c r="J210" s="2">
        <v>43984.833333333336</v>
      </c>
      <c r="K210" t="s">
        <v>905</v>
      </c>
    </row>
    <row r="211" spans="1:11" x14ac:dyDescent="0.25">
      <c r="A211" t="s">
        <v>11</v>
      </c>
      <c r="B211" t="s">
        <v>12</v>
      </c>
      <c r="C211" t="str">
        <f>"0505095990"</f>
        <v>0505095990</v>
      </c>
      <c r="D211" t="s">
        <v>906</v>
      </c>
      <c r="E211" t="s">
        <v>907</v>
      </c>
      <c r="F211" t="s">
        <v>320</v>
      </c>
      <c r="G211" t="s">
        <v>321</v>
      </c>
      <c r="H211" s="1">
        <v>476.52</v>
      </c>
      <c r="I211" s="2">
        <v>43984.333333333336</v>
      </c>
      <c r="J211" s="2">
        <v>43984.833333333336</v>
      </c>
      <c r="K211" t="s">
        <v>908</v>
      </c>
    </row>
    <row r="212" spans="1:11" x14ac:dyDescent="0.25">
      <c r="A212" t="s">
        <v>11</v>
      </c>
      <c r="B212" t="s">
        <v>284</v>
      </c>
      <c r="C212" t="str">
        <f>"2019-84689"</f>
        <v>2019-84689</v>
      </c>
      <c r="D212" t="s">
        <v>909</v>
      </c>
      <c r="E212" t="s">
        <v>910</v>
      </c>
      <c r="F212" t="s">
        <v>911</v>
      </c>
      <c r="G212" t="s">
        <v>912</v>
      </c>
      <c r="H212" s="1">
        <v>476.81</v>
      </c>
      <c r="I212" s="2">
        <v>43984.333333333336</v>
      </c>
      <c r="J212" s="2">
        <v>43984.833333333336</v>
      </c>
      <c r="K212" t="s">
        <v>913</v>
      </c>
    </row>
    <row r="213" spans="1:11" x14ac:dyDescent="0.25">
      <c r="A213" t="s">
        <v>11</v>
      </c>
      <c r="B213" t="s">
        <v>12</v>
      </c>
      <c r="C213" t="str">
        <f>"0500321900A"</f>
        <v>0500321900A</v>
      </c>
      <c r="D213" t="s">
        <v>914</v>
      </c>
      <c r="E213" t="s">
        <v>915</v>
      </c>
      <c r="F213" t="s">
        <v>916</v>
      </c>
      <c r="G213" t="s">
        <v>917</v>
      </c>
      <c r="H213" s="1">
        <v>477.41</v>
      </c>
      <c r="I213" s="2">
        <v>43984.333333333336</v>
      </c>
      <c r="J213" s="2">
        <v>43984.833333333336</v>
      </c>
      <c r="K213" t="s">
        <v>918</v>
      </c>
    </row>
    <row r="214" spans="1:11" x14ac:dyDescent="0.25">
      <c r="A214" t="s">
        <v>11</v>
      </c>
      <c r="B214" t="s">
        <v>12</v>
      </c>
      <c r="C214" t="str">
        <f>"0502901501"</f>
        <v>0502901501</v>
      </c>
      <c r="D214" t="s">
        <v>919</v>
      </c>
      <c r="E214" t="s">
        <v>920</v>
      </c>
      <c r="F214" t="s">
        <v>921</v>
      </c>
      <c r="G214" t="s">
        <v>922</v>
      </c>
      <c r="H214" s="1">
        <v>478.5</v>
      </c>
      <c r="I214" s="2">
        <v>43984.333333333336</v>
      </c>
      <c r="J214" s="2">
        <v>43984.833333333336</v>
      </c>
      <c r="K214" t="s">
        <v>923</v>
      </c>
    </row>
    <row r="215" spans="1:11" x14ac:dyDescent="0.25">
      <c r="A215" t="s">
        <v>11</v>
      </c>
      <c r="B215" t="s">
        <v>284</v>
      </c>
      <c r="C215" t="str">
        <f>"2019-15119"</f>
        <v>2019-15119</v>
      </c>
      <c r="D215" t="s">
        <v>924</v>
      </c>
      <c r="E215" t="s">
        <v>925</v>
      </c>
      <c r="F215" t="s">
        <v>926</v>
      </c>
      <c r="G215" t="s">
        <v>927</v>
      </c>
      <c r="H215" s="1">
        <v>479.5</v>
      </c>
      <c r="I215" s="2">
        <v>43984.333333333336</v>
      </c>
      <c r="J215" s="2">
        <v>43984.833333333336</v>
      </c>
      <c r="K215" t="s">
        <v>928</v>
      </c>
    </row>
    <row r="216" spans="1:11" x14ac:dyDescent="0.25">
      <c r="A216" t="s">
        <v>11</v>
      </c>
      <c r="B216" t="s">
        <v>284</v>
      </c>
      <c r="C216" t="str">
        <f>"2019-66353"</f>
        <v>2019-66353</v>
      </c>
      <c r="D216" t="s">
        <v>929</v>
      </c>
      <c r="E216" t="s">
        <v>270</v>
      </c>
      <c r="F216" t="s">
        <v>271</v>
      </c>
      <c r="G216" t="s">
        <v>272</v>
      </c>
      <c r="H216" s="1">
        <v>481.36</v>
      </c>
      <c r="I216" s="2">
        <v>43984.333333333336</v>
      </c>
      <c r="J216" s="2">
        <v>43984.833333333336</v>
      </c>
      <c r="K216" t="s">
        <v>930</v>
      </c>
    </row>
    <row r="217" spans="1:11" x14ac:dyDescent="0.25">
      <c r="A217" t="s">
        <v>11</v>
      </c>
      <c r="B217" t="s">
        <v>12</v>
      </c>
      <c r="C217" t="str">
        <f>"0503704001"</f>
        <v>0503704001</v>
      </c>
      <c r="D217" t="s">
        <v>931</v>
      </c>
      <c r="E217" t="s">
        <v>932</v>
      </c>
      <c r="F217" t="s">
        <v>519</v>
      </c>
      <c r="G217" t="s">
        <v>520</v>
      </c>
      <c r="H217" s="1">
        <v>481.96</v>
      </c>
      <c r="I217" s="2">
        <v>43984.333333333336</v>
      </c>
      <c r="J217" s="2">
        <v>43984.833333333336</v>
      </c>
      <c r="K217" t="s">
        <v>933</v>
      </c>
    </row>
    <row r="218" spans="1:11" x14ac:dyDescent="0.25">
      <c r="A218" t="s">
        <v>11</v>
      </c>
      <c r="B218" t="s">
        <v>12</v>
      </c>
      <c r="C218" t="str">
        <f>"0505394000"</f>
        <v>0505394000</v>
      </c>
      <c r="D218" t="s">
        <v>934</v>
      </c>
      <c r="E218" t="s">
        <v>925</v>
      </c>
      <c r="F218" t="s">
        <v>926</v>
      </c>
      <c r="G218" t="s">
        <v>935</v>
      </c>
      <c r="H218" s="1">
        <v>486.46</v>
      </c>
      <c r="I218" s="2">
        <v>43984.333333333336</v>
      </c>
      <c r="J218" s="2">
        <v>43984.833333333336</v>
      </c>
      <c r="K218" t="s">
        <v>936</v>
      </c>
    </row>
    <row r="219" spans="1:11" x14ac:dyDescent="0.25">
      <c r="A219" t="s">
        <v>11</v>
      </c>
      <c r="B219" t="s">
        <v>284</v>
      </c>
      <c r="C219" t="str">
        <f>"2019-72652"</f>
        <v>2019-72652</v>
      </c>
      <c r="D219" t="s">
        <v>33</v>
      </c>
      <c r="E219" t="s">
        <v>34</v>
      </c>
      <c r="F219" t="s">
        <v>35</v>
      </c>
      <c r="G219" t="s">
        <v>36</v>
      </c>
      <c r="H219" s="1">
        <v>486.98</v>
      </c>
      <c r="I219" s="2">
        <v>43984.333333333336</v>
      </c>
      <c r="J219" s="2">
        <v>43984.833333333336</v>
      </c>
      <c r="K219" t="s">
        <v>937</v>
      </c>
    </row>
    <row r="220" spans="1:11" x14ac:dyDescent="0.25">
      <c r="A220" t="s">
        <v>11</v>
      </c>
      <c r="B220" t="s">
        <v>12</v>
      </c>
      <c r="C220" t="str">
        <f>"0505057751"</f>
        <v>0505057751</v>
      </c>
      <c r="D220" t="s">
        <v>938</v>
      </c>
      <c r="E220" t="s">
        <v>939</v>
      </c>
      <c r="F220" t="s">
        <v>940</v>
      </c>
      <c r="G220" t="s">
        <v>941</v>
      </c>
      <c r="H220" s="1">
        <v>488.09</v>
      </c>
      <c r="I220" s="2">
        <v>43984.333333333336</v>
      </c>
      <c r="J220" s="2">
        <v>43984.833333333336</v>
      </c>
      <c r="K220" t="s">
        <v>942</v>
      </c>
    </row>
    <row r="221" spans="1:11" x14ac:dyDescent="0.25">
      <c r="A221" t="s">
        <v>11</v>
      </c>
      <c r="B221" t="s">
        <v>284</v>
      </c>
      <c r="C221" t="str">
        <f>"2019-16439"</f>
        <v>2019-16439</v>
      </c>
      <c r="D221" t="s">
        <v>943</v>
      </c>
      <c r="E221" t="s">
        <v>534</v>
      </c>
      <c r="F221" t="s">
        <v>320</v>
      </c>
      <c r="G221" t="s">
        <v>321</v>
      </c>
      <c r="H221" s="1">
        <v>488.38</v>
      </c>
      <c r="I221" s="2">
        <v>43984.333333333336</v>
      </c>
      <c r="J221" s="2">
        <v>43984.833333333336</v>
      </c>
      <c r="K221" t="s">
        <v>944</v>
      </c>
    </row>
    <row r="222" spans="1:11" x14ac:dyDescent="0.25">
      <c r="A222" t="s">
        <v>11</v>
      </c>
      <c r="B222" t="s">
        <v>12</v>
      </c>
      <c r="C222" t="str">
        <f>"0505514083B"</f>
        <v>0505514083B</v>
      </c>
      <c r="D222" t="s">
        <v>945</v>
      </c>
      <c r="E222" t="s">
        <v>946</v>
      </c>
      <c r="F222" t="s">
        <v>320</v>
      </c>
      <c r="G222" t="s">
        <v>321</v>
      </c>
      <c r="H222" s="1">
        <v>489.78</v>
      </c>
      <c r="I222" s="2">
        <v>43984.333333333336</v>
      </c>
      <c r="J222" s="2">
        <v>43984.833333333336</v>
      </c>
      <c r="K222" t="s">
        <v>947</v>
      </c>
    </row>
    <row r="223" spans="1:11" x14ac:dyDescent="0.25">
      <c r="A223" t="s">
        <v>11</v>
      </c>
      <c r="B223" t="s">
        <v>12</v>
      </c>
      <c r="C223" t="str">
        <f>"0504066500"</f>
        <v>0504066500</v>
      </c>
      <c r="D223" t="s">
        <v>948</v>
      </c>
      <c r="E223" t="s">
        <v>949</v>
      </c>
      <c r="F223" t="s">
        <v>950</v>
      </c>
      <c r="G223" t="s">
        <v>951</v>
      </c>
      <c r="H223" s="1">
        <v>490.01</v>
      </c>
      <c r="I223" s="2">
        <v>43984.333333333336</v>
      </c>
      <c r="J223" s="2">
        <v>43984.833333333336</v>
      </c>
      <c r="K223" t="s">
        <v>952</v>
      </c>
    </row>
    <row r="224" spans="1:11" x14ac:dyDescent="0.25">
      <c r="A224" t="s">
        <v>11</v>
      </c>
      <c r="B224" t="s">
        <v>12</v>
      </c>
      <c r="C224" t="str">
        <f>"0502567750"</f>
        <v>0502567750</v>
      </c>
      <c r="D224" t="s">
        <v>953</v>
      </c>
      <c r="E224" t="s">
        <v>954</v>
      </c>
      <c r="F224" t="s">
        <v>955</v>
      </c>
      <c r="G224" t="s">
        <v>956</v>
      </c>
      <c r="H224" s="1">
        <v>491.23</v>
      </c>
      <c r="I224" s="2">
        <v>43984.333333333336</v>
      </c>
      <c r="J224" s="2">
        <v>43984.833333333336</v>
      </c>
      <c r="K224" t="s">
        <v>957</v>
      </c>
    </row>
    <row r="225" spans="1:11" x14ac:dyDescent="0.25">
      <c r="A225" t="s">
        <v>11</v>
      </c>
      <c r="B225" t="s">
        <v>12</v>
      </c>
      <c r="C225" t="str">
        <f>"0500546500"</f>
        <v>0500546500</v>
      </c>
      <c r="D225" t="s">
        <v>958</v>
      </c>
      <c r="E225" t="s">
        <v>959</v>
      </c>
      <c r="F225" t="s">
        <v>960</v>
      </c>
      <c r="G225" t="s">
        <v>961</v>
      </c>
      <c r="H225" s="1">
        <v>493.71</v>
      </c>
      <c r="I225" s="2">
        <v>43984.333333333336</v>
      </c>
      <c r="J225" s="2">
        <v>43984.833333333336</v>
      </c>
      <c r="K225" t="s">
        <v>962</v>
      </c>
    </row>
    <row r="226" spans="1:11" x14ac:dyDescent="0.25">
      <c r="A226" t="s">
        <v>11</v>
      </c>
      <c r="B226" t="s">
        <v>284</v>
      </c>
      <c r="C226" t="str">
        <f>"2019-83611"</f>
        <v>2019-83611</v>
      </c>
      <c r="D226" t="s">
        <v>963</v>
      </c>
      <c r="E226" t="s">
        <v>964</v>
      </c>
      <c r="F226" t="s">
        <v>965</v>
      </c>
      <c r="G226" t="s">
        <v>966</v>
      </c>
      <c r="H226" s="1">
        <v>493.88</v>
      </c>
      <c r="I226" s="2">
        <v>43984.333333333336</v>
      </c>
      <c r="J226" s="2">
        <v>43984.833333333336</v>
      </c>
      <c r="K226" t="s">
        <v>967</v>
      </c>
    </row>
    <row r="227" spans="1:11" x14ac:dyDescent="0.25">
      <c r="A227" t="s">
        <v>11</v>
      </c>
      <c r="B227" t="s">
        <v>284</v>
      </c>
      <c r="C227" t="str">
        <f>"2019-82526"</f>
        <v>2019-82526</v>
      </c>
      <c r="D227" t="s">
        <v>968</v>
      </c>
      <c r="E227" t="s">
        <v>969</v>
      </c>
      <c r="F227" t="s">
        <v>970</v>
      </c>
      <c r="G227" t="s">
        <v>971</v>
      </c>
      <c r="H227" s="1">
        <v>493.89</v>
      </c>
      <c r="I227" s="2">
        <v>43984.333333333336</v>
      </c>
      <c r="J227" s="2">
        <v>43984.833333333336</v>
      </c>
      <c r="K227" t="s">
        <v>972</v>
      </c>
    </row>
    <row r="228" spans="1:11" x14ac:dyDescent="0.25">
      <c r="A228" t="s">
        <v>11</v>
      </c>
      <c r="B228" t="s">
        <v>284</v>
      </c>
      <c r="C228" t="str">
        <f>"2019-29666"</f>
        <v>2019-29666</v>
      </c>
      <c r="D228" t="s">
        <v>973</v>
      </c>
      <c r="E228" t="s">
        <v>974</v>
      </c>
      <c r="F228" t="s">
        <v>975</v>
      </c>
      <c r="G228" t="s">
        <v>976</v>
      </c>
      <c r="H228" s="1">
        <v>494.02</v>
      </c>
      <c r="I228" s="2">
        <v>43984.333333333336</v>
      </c>
      <c r="J228" s="2">
        <v>43984.833333333336</v>
      </c>
      <c r="K228" t="s">
        <v>977</v>
      </c>
    </row>
    <row r="229" spans="1:11" x14ac:dyDescent="0.25">
      <c r="A229" t="s">
        <v>11</v>
      </c>
      <c r="B229" t="s">
        <v>284</v>
      </c>
      <c r="C229" t="str">
        <f>"2019-36206"</f>
        <v>2019-36206</v>
      </c>
      <c r="D229" t="s">
        <v>978</v>
      </c>
      <c r="E229" t="s">
        <v>979</v>
      </c>
      <c r="F229" t="s">
        <v>980</v>
      </c>
      <c r="G229" t="s">
        <v>981</v>
      </c>
      <c r="H229" s="1">
        <v>494.91</v>
      </c>
      <c r="I229" s="2">
        <v>43984.333333333336</v>
      </c>
      <c r="J229" s="2">
        <v>43984.833333333336</v>
      </c>
      <c r="K229" t="s">
        <v>982</v>
      </c>
    </row>
    <row r="230" spans="1:11" x14ac:dyDescent="0.25">
      <c r="A230" t="s">
        <v>11</v>
      </c>
      <c r="B230" t="s">
        <v>284</v>
      </c>
      <c r="C230" t="str">
        <f>"2019-52745"</f>
        <v>2019-52745</v>
      </c>
      <c r="D230" t="s">
        <v>983</v>
      </c>
      <c r="E230" t="s">
        <v>984</v>
      </c>
      <c r="F230" t="s">
        <v>985</v>
      </c>
      <c r="G230" t="s">
        <v>986</v>
      </c>
      <c r="H230" s="1">
        <v>495.24</v>
      </c>
      <c r="I230" s="2">
        <v>43984.333333333336</v>
      </c>
      <c r="J230" s="2">
        <v>43984.833333333336</v>
      </c>
      <c r="K230" t="s">
        <v>987</v>
      </c>
    </row>
    <row r="231" spans="1:11" x14ac:dyDescent="0.25">
      <c r="A231" t="s">
        <v>11</v>
      </c>
      <c r="B231" t="s">
        <v>284</v>
      </c>
      <c r="C231" t="str">
        <f>"2019-49341"</f>
        <v>2019-49341</v>
      </c>
      <c r="D231" t="s">
        <v>988</v>
      </c>
      <c r="E231" t="s">
        <v>989</v>
      </c>
      <c r="F231" t="s">
        <v>673</v>
      </c>
      <c r="G231" t="s">
        <v>674</v>
      </c>
      <c r="H231" s="1">
        <v>496.74</v>
      </c>
      <c r="I231" s="2">
        <v>43984.333333333336</v>
      </c>
      <c r="J231" s="2">
        <v>43984.833333333336</v>
      </c>
      <c r="K231" t="s">
        <v>990</v>
      </c>
    </row>
    <row r="232" spans="1:11" x14ac:dyDescent="0.25">
      <c r="A232" t="s">
        <v>11</v>
      </c>
      <c r="B232" t="s">
        <v>12</v>
      </c>
      <c r="C232" t="str">
        <f>"0500588981"</f>
        <v>0500588981</v>
      </c>
      <c r="D232" t="s">
        <v>991</v>
      </c>
      <c r="E232" t="s">
        <v>992</v>
      </c>
      <c r="F232" t="s">
        <v>993</v>
      </c>
      <c r="G232" t="s">
        <v>994</v>
      </c>
      <c r="H232" s="1">
        <v>498.05</v>
      </c>
      <c r="I232" s="2">
        <v>43984.333333333336</v>
      </c>
      <c r="J232" s="2">
        <v>43984.833333333336</v>
      </c>
      <c r="K232" t="s">
        <v>995</v>
      </c>
    </row>
    <row r="233" spans="1:11" x14ac:dyDescent="0.25">
      <c r="A233" t="s">
        <v>11</v>
      </c>
      <c r="B233" t="s">
        <v>12</v>
      </c>
      <c r="C233" t="str">
        <f>"0500770000"</f>
        <v>0500770000</v>
      </c>
      <c r="D233" t="s">
        <v>996</v>
      </c>
      <c r="E233" t="s">
        <v>997</v>
      </c>
      <c r="F233" t="s">
        <v>998</v>
      </c>
      <c r="G233" t="s">
        <v>16</v>
      </c>
      <c r="H233" s="1">
        <v>500.22</v>
      </c>
      <c r="I233" s="2">
        <v>43984.333333333336</v>
      </c>
      <c r="J233" s="2">
        <v>43984.833333333336</v>
      </c>
      <c r="K233" t="s">
        <v>999</v>
      </c>
    </row>
    <row r="234" spans="1:11" x14ac:dyDescent="0.25">
      <c r="A234" t="s">
        <v>11</v>
      </c>
      <c r="B234" t="s">
        <v>284</v>
      </c>
      <c r="C234" t="str">
        <f>"2019-68413"</f>
        <v>2019-68413</v>
      </c>
      <c r="D234" t="s">
        <v>1000</v>
      </c>
      <c r="E234" t="s">
        <v>1001</v>
      </c>
      <c r="F234" t="s">
        <v>781</v>
      </c>
      <c r="G234" t="s">
        <v>782</v>
      </c>
      <c r="H234" s="1">
        <v>500.75</v>
      </c>
      <c r="I234" s="2">
        <v>43984.333333333336</v>
      </c>
      <c r="J234" s="2">
        <v>43984.833333333336</v>
      </c>
      <c r="K234" t="s">
        <v>1002</v>
      </c>
    </row>
    <row r="235" spans="1:11" x14ac:dyDescent="0.25">
      <c r="A235" t="s">
        <v>11</v>
      </c>
      <c r="B235" t="s">
        <v>284</v>
      </c>
      <c r="C235" t="str">
        <f>"2019-27578"</f>
        <v>2019-27578</v>
      </c>
      <c r="D235" t="s">
        <v>1003</v>
      </c>
      <c r="E235" t="s">
        <v>1004</v>
      </c>
      <c r="F235" t="s">
        <v>1005</v>
      </c>
      <c r="G235" t="s">
        <v>1006</v>
      </c>
      <c r="H235" s="1">
        <v>502.07</v>
      </c>
      <c r="I235" s="2">
        <v>43984.333333333336</v>
      </c>
      <c r="J235" s="2">
        <v>43984.833333333336</v>
      </c>
      <c r="K235" t="s">
        <v>1007</v>
      </c>
    </row>
    <row r="236" spans="1:11" x14ac:dyDescent="0.25">
      <c r="A236" t="s">
        <v>11</v>
      </c>
      <c r="B236" t="s">
        <v>284</v>
      </c>
      <c r="C236" t="str">
        <f>"2019-17604"</f>
        <v>2019-17604</v>
      </c>
      <c r="D236" t="s">
        <v>1008</v>
      </c>
      <c r="E236" t="s">
        <v>1009</v>
      </c>
      <c r="F236" t="s">
        <v>1010</v>
      </c>
      <c r="G236" t="s">
        <v>1011</v>
      </c>
      <c r="H236" s="1">
        <v>505</v>
      </c>
      <c r="I236" s="2">
        <v>43984.333333333336</v>
      </c>
      <c r="J236" s="2">
        <v>43984.833333333336</v>
      </c>
      <c r="K236" t="s">
        <v>1012</v>
      </c>
    </row>
    <row r="237" spans="1:11" x14ac:dyDescent="0.25">
      <c r="A237" t="s">
        <v>11</v>
      </c>
      <c r="B237" t="s">
        <v>12</v>
      </c>
      <c r="C237" t="str">
        <f>"0501156500"</f>
        <v>0501156500</v>
      </c>
      <c r="D237" t="s">
        <v>1013</v>
      </c>
      <c r="E237" t="s">
        <v>1014</v>
      </c>
      <c r="F237" t="s">
        <v>1015</v>
      </c>
      <c r="G237" t="s">
        <v>1016</v>
      </c>
      <c r="H237" s="1">
        <v>505.95</v>
      </c>
      <c r="I237" s="2">
        <v>43984.333333333336</v>
      </c>
      <c r="J237" s="2">
        <v>43984.833333333336</v>
      </c>
      <c r="K237" t="s">
        <v>1017</v>
      </c>
    </row>
    <row r="238" spans="1:11" x14ac:dyDescent="0.25">
      <c r="A238" t="s">
        <v>11</v>
      </c>
      <c r="B238" t="s">
        <v>12</v>
      </c>
      <c r="C238" t="str">
        <f>"0503673700"</f>
        <v>0503673700</v>
      </c>
      <c r="D238" t="s">
        <v>1018</v>
      </c>
      <c r="E238" t="s">
        <v>1019</v>
      </c>
      <c r="F238" t="s">
        <v>320</v>
      </c>
      <c r="G238" t="s">
        <v>321</v>
      </c>
      <c r="H238" s="1">
        <v>506.41</v>
      </c>
      <c r="I238" s="2">
        <v>43984.333333333336</v>
      </c>
      <c r="J238" s="2">
        <v>43984.833333333336</v>
      </c>
      <c r="K238" t="s">
        <v>1020</v>
      </c>
    </row>
    <row r="239" spans="1:11" x14ac:dyDescent="0.25">
      <c r="A239" t="s">
        <v>11</v>
      </c>
      <c r="B239" t="s">
        <v>284</v>
      </c>
      <c r="C239" t="str">
        <f>"2019-82115"</f>
        <v>2019-82115</v>
      </c>
      <c r="D239" t="s">
        <v>576</v>
      </c>
      <c r="E239" t="s">
        <v>577</v>
      </c>
      <c r="F239" t="s">
        <v>578</v>
      </c>
      <c r="G239" t="s">
        <v>579</v>
      </c>
      <c r="H239" s="1">
        <v>511.6</v>
      </c>
      <c r="I239" s="2">
        <v>43984.333333333336</v>
      </c>
      <c r="J239" s="2">
        <v>43984.833333333336</v>
      </c>
      <c r="K239" t="s">
        <v>1021</v>
      </c>
    </row>
    <row r="240" spans="1:11" x14ac:dyDescent="0.25">
      <c r="A240" t="s">
        <v>11</v>
      </c>
      <c r="B240" t="s">
        <v>284</v>
      </c>
      <c r="C240" t="str">
        <f>"2019-53963"</f>
        <v>2019-53963</v>
      </c>
      <c r="D240" t="s">
        <v>1022</v>
      </c>
      <c r="E240" t="s">
        <v>1023</v>
      </c>
      <c r="F240" t="s">
        <v>1024</v>
      </c>
      <c r="G240" t="s">
        <v>1025</v>
      </c>
      <c r="H240" s="1">
        <v>511.76</v>
      </c>
      <c r="I240" s="2">
        <v>43984.333333333336</v>
      </c>
      <c r="J240" s="2">
        <v>43984.833333333336</v>
      </c>
      <c r="K240" t="s">
        <v>1026</v>
      </c>
    </row>
    <row r="241" spans="1:11" x14ac:dyDescent="0.25">
      <c r="A241" t="s">
        <v>11</v>
      </c>
      <c r="B241" t="s">
        <v>284</v>
      </c>
      <c r="C241" t="str">
        <f>"2019-25888"</f>
        <v>2019-25888</v>
      </c>
      <c r="D241" t="s">
        <v>1027</v>
      </c>
      <c r="E241" t="s">
        <v>1028</v>
      </c>
      <c r="F241" t="s">
        <v>1029</v>
      </c>
      <c r="G241" t="s">
        <v>1030</v>
      </c>
      <c r="H241" s="1">
        <v>512.11</v>
      </c>
      <c r="I241" s="2">
        <v>43984.333333333336</v>
      </c>
      <c r="J241" s="2">
        <v>43984.833333333336</v>
      </c>
      <c r="K241" t="s">
        <v>1031</v>
      </c>
    </row>
    <row r="242" spans="1:11" x14ac:dyDescent="0.25">
      <c r="A242" t="s">
        <v>11</v>
      </c>
      <c r="B242" t="s">
        <v>284</v>
      </c>
      <c r="C242" t="str">
        <f>"2019-51163"</f>
        <v>2019-51163</v>
      </c>
      <c r="D242" t="s">
        <v>1032</v>
      </c>
      <c r="E242" t="s">
        <v>1033</v>
      </c>
      <c r="F242" t="s">
        <v>673</v>
      </c>
      <c r="G242" t="s">
        <v>674</v>
      </c>
      <c r="H242" s="1">
        <v>512.23</v>
      </c>
      <c r="I242" s="2">
        <v>43984.333333333336</v>
      </c>
      <c r="J242" s="2">
        <v>43984.833333333336</v>
      </c>
      <c r="K242" t="s">
        <v>1034</v>
      </c>
    </row>
    <row r="243" spans="1:11" x14ac:dyDescent="0.25">
      <c r="A243" t="s">
        <v>11</v>
      </c>
      <c r="B243" t="s">
        <v>12</v>
      </c>
      <c r="C243" t="str">
        <f>"0503261000"</f>
        <v>0503261000</v>
      </c>
      <c r="D243" t="s">
        <v>1035</v>
      </c>
      <c r="E243" t="s">
        <v>1036</v>
      </c>
      <c r="F243" t="s">
        <v>80</v>
      </c>
      <c r="G243" t="s">
        <v>81</v>
      </c>
      <c r="H243" s="1">
        <v>512.35</v>
      </c>
      <c r="I243" s="2">
        <v>43984.333333333336</v>
      </c>
      <c r="J243" s="2">
        <v>43984.833333333336</v>
      </c>
      <c r="K243" t="s">
        <v>1037</v>
      </c>
    </row>
    <row r="244" spans="1:11" x14ac:dyDescent="0.25">
      <c r="A244" t="s">
        <v>11</v>
      </c>
      <c r="B244" t="s">
        <v>284</v>
      </c>
      <c r="C244" t="str">
        <f>"2019-64661"</f>
        <v>2019-64661</v>
      </c>
      <c r="D244" t="s">
        <v>1038</v>
      </c>
      <c r="E244" t="s">
        <v>1039</v>
      </c>
      <c r="F244" t="s">
        <v>1040</v>
      </c>
      <c r="G244" t="s">
        <v>1041</v>
      </c>
      <c r="H244" s="1">
        <v>513.96</v>
      </c>
      <c r="I244" s="2">
        <v>43984.333333333336</v>
      </c>
      <c r="J244" s="2">
        <v>43984.833333333336</v>
      </c>
      <c r="K244" t="s">
        <v>1042</v>
      </c>
    </row>
    <row r="245" spans="1:11" x14ac:dyDescent="0.25">
      <c r="A245" t="s">
        <v>11</v>
      </c>
      <c r="B245" t="s">
        <v>284</v>
      </c>
      <c r="C245" t="str">
        <f>"2019-12133"</f>
        <v>2019-12133</v>
      </c>
      <c r="D245" t="s">
        <v>1043</v>
      </c>
      <c r="E245" t="s">
        <v>1044</v>
      </c>
      <c r="F245" t="s">
        <v>673</v>
      </c>
      <c r="G245" t="s">
        <v>674</v>
      </c>
      <c r="H245" s="1">
        <v>515.14</v>
      </c>
      <c r="I245" s="2">
        <v>43984.333333333336</v>
      </c>
      <c r="J245" s="2">
        <v>43984.833333333336</v>
      </c>
      <c r="K245" t="s">
        <v>1045</v>
      </c>
    </row>
    <row r="246" spans="1:11" x14ac:dyDescent="0.25">
      <c r="A246" t="s">
        <v>11</v>
      </c>
      <c r="B246" t="s">
        <v>284</v>
      </c>
      <c r="C246" t="str">
        <f>"2019-76442"</f>
        <v>2019-76442</v>
      </c>
      <c r="D246" t="s">
        <v>1046</v>
      </c>
      <c r="E246" t="s">
        <v>1047</v>
      </c>
      <c r="F246" t="s">
        <v>1048</v>
      </c>
      <c r="G246" t="s">
        <v>1049</v>
      </c>
      <c r="H246" s="1">
        <v>515.28</v>
      </c>
      <c r="I246" s="2">
        <v>43984.333333333336</v>
      </c>
      <c r="J246" s="2">
        <v>43984.833333333336</v>
      </c>
      <c r="K246" t="s">
        <v>1050</v>
      </c>
    </row>
    <row r="247" spans="1:11" x14ac:dyDescent="0.25">
      <c r="A247" t="s">
        <v>11</v>
      </c>
      <c r="B247" t="s">
        <v>284</v>
      </c>
      <c r="C247" t="str">
        <f>"2019-70990"</f>
        <v>2019-70990</v>
      </c>
      <c r="D247" t="s">
        <v>1051</v>
      </c>
      <c r="E247" t="s">
        <v>1052</v>
      </c>
      <c r="F247" t="s">
        <v>1053</v>
      </c>
      <c r="G247" t="s">
        <v>1054</v>
      </c>
      <c r="H247" s="1">
        <v>517.37</v>
      </c>
      <c r="I247" s="2">
        <v>43984.333333333336</v>
      </c>
      <c r="J247" s="2">
        <v>43984.833333333336</v>
      </c>
      <c r="K247" t="s">
        <v>1055</v>
      </c>
    </row>
    <row r="248" spans="1:11" x14ac:dyDescent="0.25">
      <c r="A248" t="s">
        <v>11</v>
      </c>
      <c r="B248" t="s">
        <v>12</v>
      </c>
      <c r="C248" t="str">
        <f>"0501067000"</f>
        <v>0501067000</v>
      </c>
      <c r="D248" t="s">
        <v>1056</v>
      </c>
      <c r="E248" t="s">
        <v>1057</v>
      </c>
      <c r="F248" t="s">
        <v>1058</v>
      </c>
      <c r="G248" t="s">
        <v>1059</v>
      </c>
      <c r="H248" s="1">
        <v>517.51</v>
      </c>
      <c r="I248" s="2">
        <v>43984.333333333336</v>
      </c>
      <c r="J248" s="2">
        <v>43984.833333333336</v>
      </c>
      <c r="K248" t="s">
        <v>1060</v>
      </c>
    </row>
    <row r="249" spans="1:11" x14ac:dyDescent="0.25">
      <c r="A249" t="s">
        <v>11</v>
      </c>
      <c r="B249" t="s">
        <v>12</v>
      </c>
      <c r="C249" t="str">
        <f>"0500228183"</f>
        <v>0500228183</v>
      </c>
      <c r="D249" t="s">
        <v>1061</v>
      </c>
      <c r="E249" t="s">
        <v>1062</v>
      </c>
      <c r="F249" t="s">
        <v>1063</v>
      </c>
      <c r="G249" t="s">
        <v>1064</v>
      </c>
      <c r="H249" s="1">
        <v>518.02</v>
      </c>
      <c r="I249" s="2">
        <v>43984.333333333336</v>
      </c>
      <c r="J249" s="2">
        <v>43984.833333333336</v>
      </c>
      <c r="K249" t="s">
        <v>1065</v>
      </c>
    </row>
    <row r="250" spans="1:11" x14ac:dyDescent="0.25">
      <c r="A250" t="s">
        <v>11</v>
      </c>
      <c r="B250" t="s">
        <v>284</v>
      </c>
      <c r="C250" t="str">
        <f>"2019-61693"</f>
        <v>2019-61693</v>
      </c>
      <c r="D250" t="s">
        <v>1066</v>
      </c>
      <c r="E250" t="s">
        <v>1067</v>
      </c>
      <c r="F250" t="s">
        <v>1068</v>
      </c>
      <c r="G250" t="s">
        <v>1069</v>
      </c>
      <c r="H250" s="1">
        <v>520.41999999999996</v>
      </c>
      <c r="I250" s="2">
        <v>43984.333333333336</v>
      </c>
      <c r="J250" s="2">
        <v>43984.833333333336</v>
      </c>
      <c r="K250" t="s">
        <v>1070</v>
      </c>
    </row>
    <row r="251" spans="1:11" x14ac:dyDescent="0.25">
      <c r="A251" t="s">
        <v>11</v>
      </c>
      <c r="B251" t="s">
        <v>284</v>
      </c>
      <c r="C251" t="str">
        <f>"2019-82285"</f>
        <v>2019-82285</v>
      </c>
      <c r="D251" t="s">
        <v>1071</v>
      </c>
      <c r="E251" t="s">
        <v>1072</v>
      </c>
      <c r="F251" t="s">
        <v>1073</v>
      </c>
      <c r="G251" t="s">
        <v>1074</v>
      </c>
      <c r="H251" s="1">
        <v>524.24</v>
      </c>
      <c r="I251" s="2">
        <v>43984.333333333336</v>
      </c>
      <c r="J251" s="2">
        <v>43984.833333333336</v>
      </c>
      <c r="K251" t="s">
        <v>1075</v>
      </c>
    </row>
    <row r="252" spans="1:11" x14ac:dyDescent="0.25">
      <c r="A252" t="s">
        <v>11</v>
      </c>
      <c r="B252" t="s">
        <v>12</v>
      </c>
      <c r="C252" t="str">
        <f>"0501714505"</f>
        <v>0501714505</v>
      </c>
      <c r="D252" t="s">
        <v>1076</v>
      </c>
      <c r="E252" t="s">
        <v>1077</v>
      </c>
      <c r="F252" t="s">
        <v>1078</v>
      </c>
      <c r="G252" t="s">
        <v>1079</v>
      </c>
      <c r="H252" s="1">
        <v>524.44000000000005</v>
      </c>
      <c r="I252" s="2">
        <v>43984.333333333336</v>
      </c>
      <c r="J252" s="2">
        <v>43984.833333333336</v>
      </c>
      <c r="K252" t="s">
        <v>1080</v>
      </c>
    </row>
    <row r="253" spans="1:11" x14ac:dyDescent="0.25">
      <c r="A253" t="s">
        <v>11</v>
      </c>
      <c r="B253" t="s">
        <v>284</v>
      </c>
      <c r="C253" t="str">
        <f>"2019-18143"</f>
        <v>2019-18143</v>
      </c>
      <c r="D253" t="s">
        <v>1081</v>
      </c>
      <c r="E253" t="s">
        <v>618</v>
      </c>
      <c r="F253" t="s">
        <v>619</v>
      </c>
      <c r="G253" t="s">
        <v>620</v>
      </c>
      <c r="H253" s="1">
        <v>524.52</v>
      </c>
      <c r="I253" s="2">
        <v>43984.333333333336</v>
      </c>
      <c r="J253" s="2">
        <v>43984.833333333336</v>
      </c>
      <c r="K253" t="s">
        <v>1082</v>
      </c>
    </row>
    <row r="254" spans="1:11" x14ac:dyDescent="0.25">
      <c r="A254" t="s">
        <v>11</v>
      </c>
      <c r="B254" t="s">
        <v>284</v>
      </c>
      <c r="C254" t="str">
        <f>"2019-76906"</f>
        <v>2019-76906</v>
      </c>
      <c r="D254" t="s">
        <v>1083</v>
      </c>
      <c r="E254" t="s">
        <v>1084</v>
      </c>
      <c r="F254" t="s">
        <v>1029</v>
      </c>
      <c r="G254" t="s">
        <v>1030</v>
      </c>
      <c r="H254" s="1">
        <v>525.19000000000005</v>
      </c>
      <c r="I254" s="2">
        <v>43984.333333333336</v>
      </c>
      <c r="J254" s="2">
        <v>43984.833333333336</v>
      </c>
      <c r="K254" t="s">
        <v>1085</v>
      </c>
    </row>
    <row r="255" spans="1:11" x14ac:dyDescent="0.25">
      <c r="A255" t="s">
        <v>11</v>
      </c>
      <c r="B255" t="s">
        <v>284</v>
      </c>
      <c r="C255" t="str">
        <f>"2019-35649"</f>
        <v>2019-35649</v>
      </c>
      <c r="D255" t="s">
        <v>1086</v>
      </c>
      <c r="E255" t="s">
        <v>1087</v>
      </c>
      <c r="F255" t="s">
        <v>1088</v>
      </c>
      <c r="G255" t="s">
        <v>377</v>
      </c>
      <c r="H255" s="1">
        <v>526.66999999999996</v>
      </c>
      <c r="I255" s="2">
        <v>43984.333333333336</v>
      </c>
      <c r="J255" s="2">
        <v>43984.833333333336</v>
      </c>
      <c r="K255" t="s">
        <v>1089</v>
      </c>
    </row>
    <row r="256" spans="1:11" x14ac:dyDescent="0.25">
      <c r="A256" t="s">
        <v>11</v>
      </c>
      <c r="B256" t="s">
        <v>284</v>
      </c>
      <c r="C256" t="str">
        <f>"2019-54353"</f>
        <v>2019-54353</v>
      </c>
      <c r="D256" t="s">
        <v>1090</v>
      </c>
      <c r="E256" t="s">
        <v>1091</v>
      </c>
      <c r="F256" t="s">
        <v>376</v>
      </c>
      <c r="G256" t="s">
        <v>377</v>
      </c>
      <c r="H256" s="1">
        <v>526.89</v>
      </c>
      <c r="I256" s="2">
        <v>43984.333333333336</v>
      </c>
      <c r="J256" s="2">
        <v>43984.833333333336</v>
      </c>
      <c r="K256" t="s">
        <v>1092</v>
      </c>
    </row>
    <row r="257" spans="1:11" x14ac:dyDescent="0.25">
      <c r="A257" t="s">
        <v>11</v>
      </c>
      <c r="B257" t="s">
        <v>284</v>
      </c>
      <c r="C257" t="str">
        <f>"2019-70612"</f>
        <v>2019-70612</v>
      </c>
      <c r="D257" t="s">
        <v>631</v>
      </c>
      <c r="E257" t="s">
        <v>632</v>
      </c>
      <c r="F257" t="s">
        <v>320</v>
      </c>
      <c r="G257" t="s">
        <v>321</v>
      </c>
      <c r="H257" s="1">
        <v>529.41</v>
      </c>
      <c r="I257" s="2">
        <v>43984.333333333336</v>
      </c>
      <c r="J257" s="2">
        <v>43984.833333333336</v>
      </c>
      <c r="K257" t="s">
        <v>1093</v>
      </c>
    </row>
    <row r="258" spans="1:11" x14ac:dyDescent="0.25">
      <c r="A258" t="s">
        <v>11</v>
      </c>
      <c r="B258" t="s">
        <v>12</v>
      </c>
      <c r="C258" t="str">
        <f>"0502351712"</f>
        <v>0502351712</v>
      </c>
      <c r="D258" t="s">
        <v>1094</v>
      </c>
      <c r="E258" t="s">
        <v>1095</v>
      </c>
      <c r="F258" t="s">
        <v>1096</v>
      </c>
      <c r="G258" t="s">
        <v>1097</v>
      </c>
      <c r="H258" s="1">
        <v>529.9</v>
      </c>
      <c r="I258" s="2">
        <v>43984.333333333336</v>
      </c>
      <c r="J258" s="2">
        <v>43984.833333333336</v>
      </c>
      <c r="K258" t="s">
        <v>1098</v>
      </c>
    </row>
    <row r="259" spans="1:11" x14ac:dyDescent="0.25">
      <c r="A259" t="s">
        <v>11</v>
      </c>
      <c r="B259" t="s">
        <v>284</v>
      </c>
      <c r="C259" t="str">
        <f>"2019-53560"</f>
        <v>2019-53560</v>
      </c>
      <c r="D259" t="s">
        <v>1099</v>
      </c>
      <c r="E259" t="s">
        <v>1100</v>
      </c>
      <c r="F259" t="s">
        <v>1101</v>
      </c>
      <c r="G259" t="s">
        <v>1102</v>
      </c>
      <c r="H259" s="1">
        <v>530.53</v>
      </c>
      <c r="I259" s="2">
        <v>43984.333333333336</v>
      </c>
      <c r="J259" s="2">
        <v>43984.833333333336</v>
      </c>
      <c r="K259" t="s">
        <v>1103</v>
      </c>
    </row>
    <row r="260" spans="1:11" x14ac:dyDescent="0.25">
      <c r="A260" t="s">
        <v>11</v>
      </c>
      <c r="B260" t="s">
        <v>12</v>
      </c>
      <c r="C260" t="str">
        <f>"0502455500"</f>
        <v>0502455500</v>
      </c>
      <c r="D260" t="s">
        <v>1104</v>
      </c>
      <c r="E260" t="s">
        <v>1105</v>
      </c>
      <c r="F260" t="s">
        <v>1106</v>
      </c>
      <c r="G260" t="s">
        <v>1107</v>
      </c>
      <c r="H260" s="1">
        <v>530.63</v>
      </c>
      <c r="I260" s="2">
        <v>43984.333333333336</v>
      </c>
      <c r="J260" s="2">
        <v>43984.833333333336</v>
      </c>
      <c r="K260" t="s">
        <v>1108</v>
      </c>
    </row>
    <row r="261" spans="1:11" x14ac:dyDescent="0.25">
      <c r="A261" t="s">
        <v>11</v>
      </c>
      <c r="B261" t="s">
        <v>284</v>
      </c>
      <c r="C261" t="str">
        <f>"2019-13289"</f>
        <v>2019-13289</v>
      </c>
      <c r="D261" t="s">
        <v>1109</v>
      </c>
      <c r="E261" t="s">
        <v>1110</v>
      </c>
      <c r="F261" t="s">
        <v>111</v>
      </c>
      <c r="G261" t="s">
        <v>1111</v>
      </c>
      <c r="H261" s="1">
        <v>531.96</v>
      </c>
      <c r="I261" s="2">
        <v>43984.333333333336</v>
      </c>
      <c r="J261" s="2">
        <v>43984.833333333336</v>
      </c>
      <c r="K261" t="s">
        <v>1112</v>
      </c>
    </row>
    <row r="262" spans="1:11" x14ac:dyDescent="0.25">
      <c r="A262" t="s">
        <v>11</v>
      </c>
      <c r="B262" t="s">
        <v>12</v>
      </c>
      <c r="C262" t="str">
        <f>"0500759500"</f>
        <v>0500759500</v>
      </c>
      <c r="D262" t="s">
        <v>1113</v>
      </c>
      <c r="E262" t="s">
        <v>1114</v>
      </c>
      <c r="F262" t="s">
        <v>1115</v>
      </c>
      <c r="G262" t="s">
        <v>1116</v>
      </c>
      <c r="H262" s="1">
        <v>536.89</v>
      </c>
      <c r="I262" s="2">
        <v>43984.333333333336</v>
      </c>
      <c r="J262" s="2">
        <v>43984.833333333336</v>
      </c>
      <c r="K262" t="s">
        <v>1117</v>
      </c>
    </row>
    <row r="263" spans="1:11" x14ac:dyDescent="0.25">
      <c r="A263" t="s">
        <v>11</v>
      </c>
      <c r="B263" t="s">
        <v>284</v>
      </c>
      <c r="C263" t="str">
        <f>"2019-58124"</f>
        <v>2019-58124</v>
      </c>
      <c r="D263" t="s">
        <v>1118</v>
      </c>
      <c r="E263" t="s">
        <v>1119</v>
      </c>
      <c r="F263" t="s">
        <v>1120</v>
      </c>
      <c r="G263" t="s">
        <v>1121</v>
      </c>
      <c r="H263" s="1">
        <v>537.34</v>
      </c>
      <c r="I263" s="2">
        <v>43984.333333333336</v>
      </c>
      <c r="J263" s="2">
        <v>43984.833333333336</v>
      </c>
      <c r="K263" t="s">
        <v>1122</v>
      </c>
    </row>
    <row r="264" spans="1:11" x14ac:dyDescent="0.25">
      <c r="A264" t="s">
        <v>11</v>
      </c>
      <c r="B264" t="s">
        <v>284</v>
      </c>
      <c r="C264" t="str">
        <f>"2019-24031"</f>
        <v>2019-24031</v>
      </c>
      <c r="D264" t="s">
        <v>647</v>
      </c>
      <c r="E264" t="s">
        <v>648</v>
      </c>
      <c r="F264" t="s">
        <v>320</v>
      </c>
      <c r="G264" t="s">
        <v>321</v>
      </c>
      <c r="H264" s="1">
        <v>539.9</v>
      </c>
      <c r="I264" s="2">
        <v>43984.333333333336</v>
      </c>
      <c r="J264" s="2">
        <v>43984.833333333336</v>
      </c>
      <c r="K264" t="s">
        <v>1123</v>
      </c>
    </row>
    <row r="265" spans="1:11" x14ac:dyDescent="0.25">
      <c r="A265" t="s">
        <v>11</v>
      </c>
      <c r="B265" t="s">
        <v>284</v>
      </c>
      <c r="C265" t="str">
        <f>"2019-39936"</f>
        <v>2019-39936</v>
      </c>
      <c r="D265" t="s">
        <v>38</v>
      </c>
      <c r="E265" t="s">
        <v>39</v>
      </c>
      <c r="F265" t="s">
        <v>40</v>
      </c>
      <c r="G265" t="s">
        <v>41</v>
      </c>
      <c r="H265" s="1">
        <v>541.46</v>
      </c>
      <c r="I265" s="2">
        <v>43984.333333333336</v>
      </c>
      <c r="J265" s="2">
        <v>43984.833333333336</v>
      </c>
      <c r="K265" t="s">
        <v>1124</v>
      </c>
    </row>
    <row r="266" spans="1:11" x14ac:dyDescent="0.25">
      <c r="A266" t="s">
        <v>11</v>
      </c>
      <c r="B266" t="s">
        <v>284</v>
      </c>
      <c r="C266" t="str">
        <f>"2019-86664"</f>
        <v>2019-86664</v>
      </c>
      <c r="D266" t="s">
        <v>1125</v>
      </c>
      <c r="E266" t="s">
        <v>651</v>
      </c>
      <c r="F266" t="s">
        <v>652</v>
      </c>
      <c r="G266" t="s">
        <v>653</v>
      </c>
      <c r="H266" s="1">
        <v>542.12</v>
      </c>
      <c r="I266" s="2">
        <v>43984.333333333336</v>
      </c>
      <c r="J266" s="2">
        <v>43984.833333333336</v>
      </c>
      <c r="K266" t="s">
        <v>1126</v>
      </c>
    </row>
    <row r="267" spans="1:11" x14ac:dyDescent="0.25">
      <c r="A267" t="s">
        <v>11</v>
      </c>
      <c r="B267" t="s">
        <v>12</v>
      </c>
      <c r="C267" t="str">
        <f>"0502915513"</f>
        <v>0502915513</v>
      </c>
      <c r="D267" t="s">
        <v>1127</v>
      </c>
      <c r="E267" t="s">
        <v>1128</v>
      </c>
      <c r="F267" t="s">
        <v>1129</v>
      </c>
      <c r="G267" t="s">
        <v>1130</v>
      </c>
      <c r="H267" s="1">
        <v>542.15</v>
      </c>
      <c r="I267" s="2">
        <v>43984.333333333336</v>
      </c>
      <c r="J267" s="2">
        <v>43984.833333333336</v>
      </c>
      <c r="K267" t="s">
        <v>1131</v>
      </c>
    </row>
    <row r="268" spans="1:11" x14ac:dyDescent="0.25">
      <c r="A268" t="s">
        <v>11</v>
      </c>
      <c r="B268" t="s">
        <v>284</v>
      </c>
      <c r="C268" t="str">
        <f>"2019-37234"</f>
        <v>2019-37234</v>
      </c>
      <c r="D268" t="s">
        <v>1132</v>
      </c>
      <c r="E268" t="s">
        <v>1133</v>
      </c>
      <c r="F268" t="s">
        <v>1134</v>
      </c>
      <c r="G268" t="s">
        <v>1135</v>
      </c>
      <c r="H268" s="1">
        <v>544.95000000000005</v>
      </c>
      <c r="I268" s="2">
        <v>43984.333333333336</v>
      </c>
      <c r="J268" s="2">
        <v>43984.833333333336</v>
      </c>
      <c r="K268" t="s">
        <v>1136</v>
      </c>
    </row>
    <row r="269" spans="1:11" x14ac:dyDescent="0.25">
      <c r="A269" t="s">
        <v>11</v>
      </c>
      <c r="B269" t="s">
        <v>12</v>
      </c>
      <c r="C269" t="str">
        <f>"0501348500"</f>
        <v>0501348500</v>
      </c>
      <c r="D269" t="s">
        <v>1137</v>
      </c>
      <c r="E269" t="s">
        <v>1138</v>
      </c>
      <c r="F269" t="s">
        <v>1139</v>
      </c>
      <c r="G269" t="s">
        <v>1140</v>
      </c>
      <c r="H269" s="1">
        <v>545.20000000000005</v>
      </c>
      <c r="I269" s="2">
        <v>43984.333333333336</v>
      </c>
      <c r="J269" s="2">
        <v>43984.833333333336</v>
      </c>
      <c r="K269" t="s">
        <v>1141</v>
      </c>
    </row>
    <row r="270" spans="1:11" x14ac:dyDescent="0.25">
      <c r="A270" t="s">
        <v>11</v>
      </c>
      <c r="B270" t="s">
        <v>284</v>
      </c>
      <c r="C270" t="str">
        <f>"2019-27023"</f>
        <v>2019-27023</v>
      </c>
      <c r="D270" t="s">
        <v>1142</v>
      </c>
      <c r="E270" t="s">
        <v>1143</v>
      </c>
      <c r="F270" t="s">
        <v>1144</v>
      </c>
      <c r="G270" t="s">
        <v>1145</v>
      </c>
      <c r="H270" s="1">
        <v>546.73</v>
      </c>
      <c r="I270" s="2">
        <v>43984.333333333336</v>
      </c>
      <c r="J270" s="2">
        <v>43984.833333333336</v>
      </c>
      <c r="K270" t="s">
        <v>1146</v>
      </c>
    </row>
    <row r="271" spans="1:11" x14ac:dyDescent="0.25">
      <c r="A271" t="s">
        <v>11</v>
      </c>
      <c r="B271" t="s">
        <v>12</v>
      </c>
      <c r="C271" t="str">
        <f>"0504359201"</f>
        <v>0504359201</v>
      </c>
      <c r="D271" t="s">
        <v>1147</v>
      </c>
      <c r="E271" t="s">
        <v>1148</v>
      </c>
      <c r="F271" t="s">
        <v>1149</v>
      </c>
      <c r="G271" t="s">
        <v>1150</v>
      </c>
      <c r="H271" s="1">
        <v>547.72</v>
      </c>
      <c r="I271" s="2">
        <v>43984.333333333336</v>
      </c>
      <c r="J271" s="2">
        <v>43984.833333333336</v>
      </c>
      <c r="K271" t="s">
        <v>1151</v>
      </c>
    </row>
    <row r="272" spans="1:11" x14ac:dyDescent="0.25">
      <c r="A272" t="s">
        <v>11</v>
      </c>
      <c r="B272" t="s">
        <v>284</v>
      </c>
      <c r="C272" t="str">
        <f>"2019-77347"</f>
        <v>2019-77347</v>
      </c>
      <c r="D272" t="s">
        <v>1152</v>
      </c>
      <c r="E272" t="s">
        <v>44</v>
      </c>
      <c r="F272" t="s">
        <v>45</v>
      </c>
      <c r="G272" t="s">
        <v>1153</v>
      </c>
      <c r="H272" s="1">
        <v>547.73</v>
      </c>
      <c r="I272" s="2">
        <v>43984.333333333336</v>
      </c>
      <c r="J272" s="2">
        <v>43984.833333333336</v>
      </c>
      <c r="K272" t="s">
        <v>1154</v>
      </c>
    </row>
    <row r="273" spans="1:11" x14ac:dyDescent="0.25">
      <c r="A273" t="s">
        <v>11</v>
      </c>
      <c r="B273" t="s">
        <v>12</v>
      </c>
      <c r="C273" t="str">
        <f>"0504601000"</f>
        <v>0504601000</v>
      </c>
      <c r="D273" t="s">
        <v>1155</v>
      </c>
      <c r="E273" t="s">
        <v>1156</v>
      </c>
      <c r="F273" t="s">
        <v>1157</v>
      </c>
      <c r="G273" t="s">
        <v>1158</v>
      </c>
      <c r="H273" s="1">
        <v>548.96</v>
      </c>
      <c r="I273" s="2">
        <v>43984.333333333336</v>
      </c>
      <c r="J273" s="2">
        <v>43984.833333333336</v>
      </c>
      <c r="K273" t="s">
        <v>1159</v>
      </c>
    </row>
    <row r="274" spans="1:11" x14ac:dyDescent="0.25">
      <c r="A274" t="s">
        <v>11</v>
      </c>
      <c r="B274" t="s">
        <v>284</v>
      </c>
      <c r="C274" t="str">
        <f>"2019-73315"</f>
        <v>2019-73315</v>
      </c>
      <c r="D274" t="s">
        <v>48</v>
      </c>
      <c r="E274" t="s">
        <v>49</v>
      </c>
      <c r="F274" t="s">
        <v>50</v>
      </c>
      <c r="G274" t="s">
        <v>51</v>
      </c>
      <c r="H274" s="1">
        <v>551.97</v>
      </c>
      <c r="I274" s="2">
        <v>43984.333333333336</v>
      </c>
      <c r="J274" s="2">
        <v>43984.833333333336</v>
      </c>
      <c r="K274" t="s">
        <v>1160</v>
      </c>
    </row>
    <row r="275" spans="1:11" x14ac:dyDescent="0.25">
      <c r="A275" t="s">
        <v>11</v>
      </c>
      <c r="B275" t="s">
        <v>12</v>
      </c>
      <c r="C275" t="str">
        <f>"0500431012"</f>
        <v>0500431012</v>
      </c>
      <c r="D275" t="s">
        <v>1161</v>
      </c>
      <c r="E275" t="s">
        <v>1162</v>
      </c>
      <c r="F275" t="s">
        <v>1163</v>
      </c>
      <c r="G275" t="s">
        <v>1164</v>
      </c>
      <c r="H275" s="1">
        <v>552.41999999999996</v>
      </c>
      <c r="I275" s="2">
        <v>43984.333333333336</v>
      </c>
      <c r="J275" s="2">
        <v>43984.833333333336</v>
      </c>
      <c r="K275" t="s">
        <v>1165</v>
      </c>
    </row>
    <row r="276" spans="1:11" x14ac:dyDescent="0.25">
      <c r="A276" t="s">
        <v>11</v>
      </c>
      <c r="B276" t="s">
        <v>284</v>
      </c>
      <c r="C276" t="str">
        <f>"2019-68402"</f>
        <v>2019-68402</v>
      </c>
      <c r="D276" t="s">
        <v>1166</v>
      </c>
      <c r="E276" t="s">
        <v>255</v>
      </c>
      <c r="F276" t="s">
        <v>256</v>
      </c>
      <c r="G276" t="s">
        <v>257</v>
      </c>
      <c r="H276" s="1">
        <v>556.99</v>
      </c>
      <c r="I276" s="2">
        <v>43984.333333333336</v>
      </c>
      <c r="J276" s="2">
        <v>43984.833333333336</v>
      </c>
      <c r="K276" t="s">
        <v>1167</v>
      </c>
    </row>
    <row r="277" spans="1:11" x14ac:dyDescent="0.25">
      <c r="A277" t="s">
        <v>11</v>
      </c>
      <c r="B277" t="s">
        <v>12</v>
      </c>
      <c r="C277" t="str">
        <f>"0504443500"</f>
        <v>0504443500</v>
      </c>
      <c r="D277" t="s">
        <v>1168</v>
      </c>
      <c r="E277" t="s">
        <v>1169</v>
      </c>
      <c r="F277" t="s">
        <v>1170</v>
      </c>
      <c r="G277" t="s">
        <v>1171</v>
      </c>
      <c r="H277" s="1">
        <v>558.30999999999995</v>
      </c>
      <c r="I277" s="2">
        <v>43984.333333333336</v>
      </c>
      <c r="J277" s="2">
        <v>43984.833333333336</v>
      </c>
      <c r="K277" t="s">
        <v>1172</v>
      </c>
    </row>
    <row r="278" spans="1:11" x14ac:dyDescent="0.25">
      <c r="A278" t="s">
        <v>11</v>
      </c>
      <c r="B278" t="s">
        <v>284</v>
      </c>
      <c r="C278" t="str">
        <f>"2019-74308"</f>
        <v>2019-74308</v>
      </c>
      <c r="D278" t="s">
        <v>681</v>
      </c>
      <c r="E278" t="s">
        <v>682</v>
      </c>
      <c r="F278" t="s">
        <v>683</v>
      </c>
      <c r="G278" t="s">
        <v>1173</v>
      </c>
      <c r="H278" s="1">
        <v>558.61</v>
      </c>
      <c r="I278" s="2">
        <v>43984.333333333336</v>
      </c>
      <c r="J278" s="2">
        <v>43984.833333333336</v>
      </c>
      <c r="K278" t="s">
        <v>1174</v>
      </c>
    </row>
    <row r="279" spans="1:11" x14ac:dyDescent="0.25">
      <c r="A279" t="s">
        <v>11</v>
      </c>
      <c r="B279" t="s">
        <v>284</v>
      </c>
      <c r="C279" t="str">
        <f>"2019-29648"</f>
        <v>2019-29648</v>
      </c>
      <c r="D279" t="s">
        <v>1175</v>
      </c>
      <c r="E279" t="s">
        <v>1176</v>
      </c>
      <c r="F279" t="s">
        <v>1177</v>
      </c>
      <c r="G279" t="s">
        <v>1178</v>
      </c>
      <c r="H279" s="1">
        <v>561.25</v>
      </c>
      <c r="I279" s="2">
        <v>43984.333333333336</v>
      </c>
      <c r="J279" s="2">
        <v>43984.833333333336</v>
      </c>
      <c r="K279" t="s">
        <v>1179</v>
      </c>
    </row>
    <row r="280" spans="1:11" x14ac:dyDescent="0.25">
      <c r="A280" t="s">
        <v>11</v>
      </c>
      <c r="B280" t="s">
        <v>12</v>
      </c>
      <c r="C280" t="str">
        <f>"0500767500"</f>
        <v>0500767500</v>
      </c>
      <c r="D280" t="s">
        <v>1180</v>
      </c>
      <c r="E280" t="s">
        <v>1181</v>
      </c>
      <c r="F280" t="s">
        <v>320</v>
      </c>
      <c r="G280" t="s">
        <v>321</v>
      </c>
      <c r="H280" s="1">
        <v>561.99</v>
      </c>
      <c r="I280" s="2">
        <v>43984.333333333336</v>
      </c>
      <c r="J280" s="2">
        <v>43984.833333333336</v>
      </c>
      <c r="K280" t="s">
        <v>1182</v>
      </c>
    </row>
    <row r="281" spans="1:11" x14ac:dyDescent="0.25">
      <c r="A281" t="s">
        <v>11</v>
      </c>
      <c r="B281" t="s">
        <v>284</v>
      </c>
      <c r="C281" t="str">
        <f>"2019-28061"</f>
        <v>2019-28061</v>
      </c>
      <c r="D281" t="s">
        <v>1183</v>
      </c>
      <c r="E281" t="s">
        <v>694</v>
      </c>
      <c r="F281" t="s">
        <v>695</v>
      </c>
      <c r="G281" t="s">
        <v>696</v>
      </c>
      <c r="H281" s="1">
        <v>564.89</v>
      </c>
      <c r="I281" s="2">
        <v>43984.333333333336</v>
      </c>
      <c r="J281" s="2">
        <v>43984.833333333336</v>
      </c>
      <c r="K281" t="s">
        <v>1184</v>
      </c>
    </row>
    <row r="282" spans="1:11" x14ac:dyDescent="0.25">
      <c r="A282" t="s">
        <v>11</v>
      </c>
      <c r="B282" t="s">
        <v>284</v>
      </c>
      <c r="C282" t="str">
        <f>"2019-69496"</f>
        <v>2019-69496</v>
      </c>
      <c r="D282" t="s">
        <v>699</v>
      </c>
      <c r="E282" t="s">
        <v>700</v>
      </c>
      <c r="F282" t="s">
        <v>701</v>
      </c>
      <c r="G282" t="s">
        <v>702</v>
      </c>
      <c r="H282" s="1">
        <v>567.12</v>
      </c>
      <c r="I282" s="2">
        <v>43984.333333333336</v>
      </c>
      <c r="J282" s="2">
        <v>43984.833333333336</v>
      </c>
      <c r="K282" t="s">
        <v>1185</v>
      </c>
    </row>
    <row r="283" spans="1:11" x14ac:dyDescent="0.25">
      <c r="A283" t="s">
        <v>11</v>
      </c>
      <c r="B283" t="s">
        <v>12</v>
      </c>
      <c r="C283" t="str">
        <f>"0502546500"</f>
        <v>0502546500</v>
      </c>
      <c r="D283" t="s">
        <v>1186</v>
      </c>
      <c r="E283" t="s">
        <v>1187</v>
      </c>
      <c r="F283" t="s">
        <v>1078</v>
      </c>
      <c r="G283" t="s">
        <v>1079</v>
      </c>
      <c r="H283" s="1">
        <v>567.79</v>
      </c>
      <c r="I283" s="2">
        <v>43984.333333333336</v>
      </c>
      <c r="J283" s="2">
        <v>43984.833333333336</v>
      </c>
      <c r="K283" t="s">
        <v>1188</v>
      </c>
    </row>
    <row r="284" spans="1:11" x14ac:dyDescent="0.25">
      <c r="A284" t="s">
        <v>11</v>
      </c>
      <c r="B284" t="s">
        <v>284</v>
      </c>
      <c r="C284" t="str">
        <f>"2019-63050"</f>
        <v>2019-63050</v>
      </c>
      <c r="D284" t="s">
        <v>1189</v>
      </c>
      <c r="E284" t="s">
        <v>1190</v>
      </c>
      <c r="F284" t="s">
        <v>1191</v>
      </c>
      <c r="G284" t="s">
        <v>1192</v>
      </c>
      <c r="H284" s="1">
        <v>570.28</v>
      </c>
      <c r="I284" s="2">
        <v>43984.333333333336</v>
      </c>
      <c r="J284" s="2">
        <v>43984.833333333336</v>
      </c>
      <c r="K284" t="s">
        <v>1193</v>
      </c>
    </row>
    <row r="285" spans="1:11" x14ac:dyDescent="0.25">
      <c r="A285" t="s">
        <v>11</v>
      </c>
      <c r="B285" t="s">
        <v>12</v>
      </c>
      <c r="C285" t="str">
        <f>"0502479000"</f>
        <v>0502479000</v>
      </c>
      <c r="D285" t="s">
        <v>1194</v>
      </c>
      <c r="E285" t="s">
        <v>1195</v>
      </c>
      <c r="F285" t="s">
        <v>1196</v>
      </c>
      <c r="G285" t="s">
        <v>1197</v>
      </c>
      <c r="H285" s="1">
        <v>571.11</v>
      </c>
      <c r="I285" s="2">
        <v>43984.333333333336</v>
      </c>
      <c r="J285" s="2">
        <v>43984.833333333336</v>
      </c>
      <c r="K285" t="s">
        <v>1198</v>
      </c>
    </row>
    <row r="286" spans="1:11" x14ac:dyDescent="0.25">
      <c r="A286" t="s">
        <v>11</v>
      </c>
      <c r="B286" t="s">
        <v>284</v>
      </c>
      <c r="C286" t="str">
        <f>"2019-79327"</f>
        <v>2019-79327</v>
      </c>
      <c r="D286" t="s">
        <v>1199</v>
      </c>
      <c r="E286" t="s">
        <v>1200</v>
      </c>
      <c r="F286" t="s">
        <v>1201</v>
      </c>
      <c r="G286" t="s">
        <v>1202</v>
      </c>
      <c r="H286" s="1">
        <v>573.86</v>
      </c>
      <c r="I286" s="2">
        <v>43984.333333333336</v>
      </c>
      <c r="J286" s="2">
        <v>43984.833333333336</v>
      </c>
      <c r="K286" t="s">
        <v>1203</v>
      </c>
    </row>
    <row r="287" spans="1:11" x14ac:dyDescent="0.25">
      <c r="A287" t="s">
        <v>11</v>
      </c>
      <c r="B287" t="s">
        <v>284</v>
      </c>
      <c r="C287" t="str">
        <f>"2019-40886"</f>
        <v>2019-40886</v>
      </c>
      <c r="D287" t="s">
        <v>1204</v>
      </c>
      <c r="E287" t="s">
        <v>1205</v>
      </c>
      <c r="F287" t="s">
        <v>1206</v>
      </c>
      <c r="G287" t="s">
        <v>1207</v>
      </c>
      <c r="H287" s="1">
        <v>575.61</v>
      </c>
      <c r="I287" s="2">
        <v>43984.333333333336</v>
      </c>
      <c r="J287" s="2">
        <v>43984.833333333336</v>
      </c>
      <c r="K287" t="s">
        <v>1208</v>
      </c>
    </row>
    <row r="288" spans="1:11" x14ac:dyDescent="0.25">
      <c r="A288" t="s">
        <v>11</v>
      </c>
      <c r="B288" t="s">
        <v>284</v>
      </c>
      <c r="C288" t="str">
        <f>"2019-40368"</f>
        <v>2019-40368</v>
      </c>
      <c r="D288" t="s">
        <v>1209</v>
      </c>
      <c r="E288" t="s">
        <v>1210</v>
      </c>
      <c r="F288" t="s">
        <v>1211</v>
      </c>
      <c r="G288" t="s">
        <v>1212</v>
      </c>
      <c r="H288" s="1">
        <v>577.15</v>
      </c>
      <c r="I288" s="2">
        <v>43984.333333333336</v>
      </c>
      <c r="J288" s="2">
        <v>43984.833333333336</v>
      </c>
      <c r="K288" t="s">
        <v>1213</v>
      </c>
    </row>
    <row r="289" spans="1:11" x14ac:dyDescent="0.25">
      <c r="A289" t="s">
        <v>11</v>
      </c>
      <c r="B289" t="s">
        <v>284</v>
      </c>
      <c r="C289" t="str">
        <f>"2019-40179"</f>
        <v>2019-40179</v>
      </c>
      <c r="D289" t="s">
        <v>1214</v>
      </c>
      <c r="E289" t="s">
        <v>1215</v>
      </c>
      <c r="F289" t="s">
        <v>1216</v>
      </c>
      <c r="G289" t="s">
        <v>1217</v>
      </c>
      <c r="H289" s="1">
        <v>580.13</v>
      </c>
      <c r="I289" s="2">
        <v>43984.333333333336</v>
      </c>
      <c r="J289" s="2">
        <v>43984.833333333336</v>
      </c>
      <c r="K289" t="s">
        <v>1218</v>
      </c>
    </row>
    <row r="290" spans="1:11" x14ac:dyDescent="0.25">
      <c r="A290" t="s">
        <v>11</v>
      </c>
      <c r="B290" t="s">
        <v>284</v>
      </c>
      <c r="C290" t="str">
        <f>"2019-85000"</f>
        <v>2019-85000</v>
      </c>
      <c r="D290" t="s">
        <v>1219</v>
      </c>
      <c r="E290" t="s">
        <v>1220</v>
      </c>
      <c r="F290" t="s">
        <v>1221</v>
      </c>
      <c r="G290" t="s">
        <v>1222</v>
      </c>
      <c r="H290" s="1">
        <v>585.15</v>
      </c>
      <c r="I290" s="2">
        <v>43984.333333333336</v>
      </c>
      <c r="J290" s="2">
        <v>43984.833333333336</v>
      </c>
      <c r="K290" t="s">
        <v>1223</v>
      </c>
    </row>
    <row r="291" spans="1:11" x14ac:dyDescent="0.25">
      <c r="A291" t="s">
        <v>11</v>
      </c>
      <c r="B291" t="s">
        <v>284</v>
      </c>
      <c r="C291" t="str">
        <f>"2019-49462"</f>
        <v>2019-49462</v>
      </c>
      <c r="D291" t="s">
        <v>1224</v>
      </c>
      <c r="E291" t="s">
        <v>1225</v>
      </c>
      <c r="F291" t="s">
        <v>899</v>
      </c>
      <c r="G291" t="s">
        <v>900</v>
      </c>
      <c r="H291" s="1">
        <v>586.66999999999996</v>
      </c>
      <c r="I291" s="2">
        <v>43984.333333333336</v>
      </c>
      <c r="J291" s="2">
        <v>43984.833333333336</v>
      </c>
      <c r="K291" t="s">
        <v>1226</v>
      </c>
    </row>
    <row r="292" spans="1:11" x14ac:dyDescent="0.25">
      <c r="A292" t="s">
        <v>11</v>
      </c>
      <c r="B292" t="s">
        <v>284</v>
      </c>
      <c r="C292" t="str">
        <f>"2019-61344"</f>
        <v>2019-61344</v>
      </c>
      <c r="D292" t="s">
        <v>1227</v>
      </c>
      <c r="E292" t="s">
        <v>1228</v>
      </c>
      <c r="F292" t="s">
        <v>1229</v>
      </c>
      <c r="G292" t="s">
        <v>321</v>
      </c>
      <c r="H292" s="1">
        <v>586.99</v>
      </c>
      <c r="I292" s="2">
        <v>43984.333333333336</v>
      </c>
      <c r="J292" s="2">
        <v>43984.833333333336</v>
      </c>
      <c r="K292" t="s">
        <v>1230</v>
      </c>
    </row>
    <row r="293" spans="1:11" x14ac:dyDescent="0.25">
      <c r="A293" t="s">
        <v>11</v>
      </c>
      <c r="B293" t="s">
        <v>284</v>
      </c>
      <c r="C293" t="str">
        <f>"2019-10771"</f>
        <v>2019-10771</v>
      </c>
      <c r="D293" t="s">
        <v>743</v>
      </c>
      <c r="E293" t="s">
        <v>744</v>
      </c>
      <c r="F293" t="s">
        <v>15</v>
      </c>
      <c r="G293" t="s">
        <v>16</v>
      </c>
      <c r="H293" s="1">
        <v>587.08000000000004</v>
      </c>
      <c r="I293" s="2">
        <v>43984.333333333336</v>
      </c>
      <c r="J293" s="2">
        <v>43984.833333333336</v>
      </c>
      <c r="K293" t="s">
        <v>1231</v>
      </c>
    </row>
    <row r="294" spans="1:11" x14ac:dyDescent="0.25">
      <c r="A294" t="s">
        <v>11</v>
      </c>
      <c r="B294" t="s">
        <v>284</v>
      </c>
      <c r="C294" t="str">
        <f>"2019-18846"</f>
        <v>2019-18846</v>
      </c>
      <c r="D294" t="s">
        <v>1232</v>
      </c>
      <c r="E294" t="s">
        <v>1233</v>
      </c>
      <c r="F294" t="s">
        <v>1234</v>
      </c>
      <c r="G294" t="s">
        <v>1235</v>
      </c>
      <c r="H294" s="1">
        <v>589.20000000000005</v>
      </c>
      <c r="I294" s="2">
        <v>43984.333333333336</v>
      </c>
      <c r="J294" s="2">
        <v>43984.833333333336</v>
      </c>
      <c r="K294" t="s">
        <v>1236</v>
      </c>
    </row>
    <row r="295" spans="1:11" x14ac:dyDescent="0.25">
      <c r="A295" t="s">
        <v>11</v>
      </c>
      <c r="B295" t="s">
        <v>284</v>
      </c>
      <c r="C295" t="str">
        <f>"2019-49087"</f>
        <v>2019-49087</v>
      </c>
      <c r="D295" t="s">
        <v>1237</v>
      </c>
      <c r="E295" t="s">
        <v>1238</v>
      </c>
      <c r="F295" t="s">
        <v>1239</v>
      </c>
      <c r="G295" t="s">
        <v>1240</v>
      </c>
      <c r="H295" s="1">
        <v>590.87</v>
      </c>
      <c r="I295" s="2">
        <v>43984.333333333336</v>
      </c>
      <c r="J295" s="2">
        <v>43984.833333333336</v>
      </c>
      <c r="K295" t="s">
        <v>1241</v>
      </c>
    </row>
    <row r="296" spans="1:11" x14ac:dyDescent="0.25">
      <c r="A296" t="s">
        <v>11</v>
      </c>
      <c r="B296" t="s">
        <v>12</v>
      </c>
      <c r="C296" t="str">
        <f>"0501614875"</f>
        <v>0501614875</v>
      </c>
      <c r="D296" t="s">
        <v>1242</v>
      </c>
      <c r="E296" t="s">
        <v>1243</v>
      </c>
      <c r="F296" t="s">
        <v>100</v>
      </c>
      <c r="G296" t="s">
        <v>101</v>
      </c>
      <c r="H296" s="1">
        <v>590.96</v>
      </c>
      <c r="I296" s="2">
        <v>43984.333333333336</v>
      </c>
      <c r="J296" s="2">
        <v>43984.833333333336</v>
      </c>
      <c r="K296" t="s">
        <v>1244</v>
      </c>
    </row>
    <row r="297" spans="1:11" x14ac:dyDescent="0.25">
      <c r="A297" t="s">
        <v>11</v>
      </c>
      <c r="B297" t="s">
        <v>284</v>
      </c>
      <c r="C297" t="str">
        <f>"2019-75435"</f>
        <v>2019-75435</v>
      </c>
      <c r="D297" t="s">
        <v>1245</v>
      </c>
      <c r="E297" t="s">
        <v>752</v>
      </c>
      <c r="F297" t="s">
        <v>753</v>
      </c>
      <c r="G297" t="s">
        <v>754</v>
      </c>
      <c r="H297" s="1">
        <v>590.99</v>
      </c>
      <c r="I297" s="2">
        <v>43984.333333333336</v>
      </c>
      <c r="J297" s="2">
        <v>43984.833333333336</v>
      </c>
      <c r="K297" t="s">
        <v>1246</v>
      </c>
    </row>
    <row r="298" spans="1:11" x14ac:dyDescent="0.25">
      <c r="A298" t="s">
        <v>11</v>
      </c>
      <c r="B298" t="s">
        <v>12</v>
      </c>
      <c r="C298" t="str">
        <f>"0501123991"</f>
        <v>0501123991</v>
      </c>
      <c r="D298" t="s">
        <v>1247</v>
      </c>
      <c r="E298" t="s">
        <v>1248</v>
      </c>
      <c r="F298" t="s">
        <v>320</v>
      </c>
      <c r="G298" t="s">
        <v>321</v>
      </c>
      <c r="H298" s="1">
        <v>591.79</v>
      </c>
      <c r="I298" s="2">
        <v>43984.333333333336</v>
      </c>
      <c r="J298" s="2">
        <v>43984.833333333336</v>
      </c>
      <c r="K298" t="s">
        <v>1249</v>
      </c>
    </row>
    <row r="299" spans="1:11" x14ac:dyDescent="0.25">
      <c r="A299" t="s">
        <v>11</v>
      </c>
      <c r="B299" t="s">
        <v>284</v>
      </c>
      <c r="C299" t="str">
        <f>"2019-70571"</f>
        <v>2019-70571</v>
      </c>
      <c r="D299" t="s">
        <v>766</v>
      </c>
      <c r="E299" t="s">
        <v>767</v>
      </c>
      <c r="F299" t="s">
        <v>90</v>
      </c>
      <c r="G299" t="s">
        <v>91</v>
      </c>
      <c r="H299" s="1">
        <v>593.73</v>
      </c>
      <c r="I299" s="2">
        <v>43984.333333333336</v>
      </c>
      <c r="J299" s="2">
        <v>43984.833333333336</v>
      </c>
      <c r="K299" t="s">
        <v>1250</v>
      </c>
    </row>
    <row r="300" spans="1:11" x14ac:dyDescent="0.25">
      <c r="A300" t="s">
        <v>11</v>
      </c>
      <c r="B300" t="s">
        <v>284</v>
      </c>
      <c r="C300" t="str">
        <f>"2019-64407"</f>
        <v>2019-64407</v>
      </c>
      <c r="D300" t="s">
        <v>205</v>
      </c>
      <c r="E300" t="s">
        <v>206</v>
      </c>
      <c r="F300" t="s">
        <v>100</v>
      </c>
      <c r="G300" t="s">
        <v>101</v>
      </c>
      <c r="H300" s="1">
        <v>595.55999999999995</v>
      </c>
      <c r="I300" s="2">
        <v>43984.333333333336</v>
      </c>
      <c r="J300" s="2">
        <v>43984.833333333336</v>
      </c>
      <c r="K300" t="s">
        <v>1251</v>
      </c>
    </row>
    <row r="301" spans="1:11" x14ac:dyDescent="0.25">
      <c r="A301" t="s">
        <v>11</v>
      </c>
      <c r="B301" t="s">
        <v>284</v>
      </c>
      <c r="C301" t="str">
        <f>"2019-68999"</f>
        <v>2019-68999</v>
      </c>
      <c r="D301" t="s">
        <v>1252</v>
      </c>
      <c r="E301" t="s">
        <v>1253</v>
      </c>
      <c r="F301" t="s">
        <v>1254</v>
      </c>
      <c r="G301" t="s">
        <v>1255</v>
      </c>
      <c r="H301" s="1">
        <v>596</v>
      </c>
      <c r="I301" s="2">
        <v>43984.333333333336</v>
      </c>
      <c r="J301" s="2">
        <v>43984.833333333336</v>
      </c>
      <c r="K301" t="s">
        <v>1256</v>
      </c>
    </row>
    <row r="302" spans="1:11" x14ac:dyDescent="0.25">
      <c r="A302" t="s">
        <v>11</v>
      </c>
      <c r="B302" t="s">
        <v>284</v>
      </c>
      <c r="C302" t="str">
        <f>"2019-47095"</f>
        <v>2019-47095</v>
      </c>
      <c r="D302" t="s">
        <v>1257</v>
      </c>
      <c r="E302" t="s">
        <v>1258</v>
      </c>
      <c r="F302" t="s">
        <v>1259</v>
      </c>
      <c r="G302" t="s">
        <v>1260</v>
      </c>
      <c r="H302" s="1">
        <v>599.08000000000004</v>
      </c>
      <c r="I302" s="2">
        <v>43984.333333333336</v>
      </c>
      <c r="J302" s="2">
        <v>43984.833333333336</v>
      </c>
      <c r="K302" t="s">
        <v>1261</v>
      </c>
    </row>
    <row r="303" spans="1:11" x14ac:dyDescent="0.25">
      <c r="A303" t="s">
        <v>11</v>
      </c>
      <c r="B303" t="s">
        <v>284</v>
      </c>
      <c r="C303" t="str">
        <f>"2019-40681"</f>
        <v>2019-40681</v>
      </c>
      <c r="D303" t="s">
        <v>1262</v>
      </c>
      <c r="E303" t="s">
        <v>1263</v>
      </c>
      <c r="F303" t="s">
        <v>1264</v>
      </c>
      <c r="G303" t="s">
        <v>1265</v>
      </c>
      <c r="H303" s="1">
        <v>599.57000000000005</v>
      </c>
      <c r="I303" s="2">
        <v>43984.333333333336</v>
      </c>
      <c r="J303" s="2">
        <v>43984.833333333336</v>
      </c>
      <c r="K303" t="s">
        <v>1266</v>
      </c>
    </row>
    <row r="304" spans="1:11" x14ac:dyDescent="0.25">
      <c r="A304" t="s">
        <v>11</v>
      </c>
      <c r="B304" t="s">
        <v>284</v>
      </c>
      <c r="C304" t="str">
        <f>"2019-29584"</f>
        <v>2019-29584</v>
      </c>
      <c r="D304" t="s">
        <v>1022</v>
      </c>
      <c r="E304" t="s">
        <v>1267</v>
      </c>
      <c r="F304" t="s">
        <v>1268</v>
      </c>
      <c r="G304" t="s">
        <v>1025</v>
      </c>
      <c r="H304" s="1">
        <v>602.24</v>
      </c>
      <c r="I304" s="2">
        <v>43984.333333333336</v>
      </c>
      <c r="J304" s="2">
        <v>43984.833333333336</v>
      </c>
      <c r="K304" t="s">
        <v>1269</v>
      </c>
    </row>
    <row r="305" spans="1:11" x14ac:dyDescent="0.25">
      <c r="A305" t="s">
        <v>11</v>
      </c>
      <c r="B305" t="s">
        <v>284</v>
      </c>
      <c r="C305" t="str">
        <f>"2019-28172"</f>
        <v>2019-28172</v>
      </c>
      <c r="D305" t="s">
        <v>1270</v>
      </c>
      <c r="E305" t="s">
        <v>1271</v>
      </c>
      <c r="F305" t="s">
        <v>1272</v>
      </c>
      <c r="G305" t="s">
        <v>1273</v>
      </c>
      <c r="H305" s="1">
        <v>602.89</v>
      </c>
      <c r="I305" s="2">
        <v>43984.333333333336</v>
      </c>
      <c r="J305" s="2">
        <v>43984.833333333336</v>
      </c>
      <c r="K305" t="s">
        <v>1274</v>
      </c>
    </row>
    <row r="306" spans="1:11" x14ac:dyDescent="0.25">
      <c r="A306" t="s">
        <v>11</v>
      </c>
      <c r="B306" t="s">
        <v>284</v>
      </c>
      <c r="C306" t="str">
        <f>"2019-41861"</f>
        <v>2019-41861</v>
      </c>
      <c r="D306" t="s">
        <v>784</v>
      </c>
      <c r="E306" t="s">
        <v>785</v>
      </c>
      <c r="F306" t="s">
        <v>786</v>
      </c>
      <c r="G306" t="s">
        <v>1275</v>
      </c>
      <c r="H306" s="1">
        <v>603.34</v>
      </c>
      <c r="I306" s="2">
        <v>43984.333333333336</v>
      </c>
      <c r="J306" s="2">
        <v>43984.833333333336</v>
      </c>
      <c r="K306" t="s">
        <v>1276</v>
      </c>
    </row>
    <row r="307" spans="1:11" x14ac:dyDescent="0.25">
      <c r="A307" t="s">
        <v>11</v>
      </c>
      <c r="B307" t="s">
        <v>284</v>
      </c>
      <c r="C307" t="str">
        <f>"2019-16207"</f>
        <v>2019-16207</v>
      </c>
      <c r="D307" t="s">
        <v>1277</v>
      </c>
      <c r="E307" t="s">
        <v>1278</v>
      </c>
      <c r="F307" t="s">
        <v>1279</v>
      </c>
      <c r="G307" t="s">
        <v>1280</v>
      </c>
      <c r="H307" s="1">
        <v>604.03</v>
      </c>
      <c r="I307" s="2">
        <v>43984.333333333336</v>
      </c>
      <c r="J307" s="2">
        <v>43984.833333333336</v>
      </c>
      <c r="K307" t="s">
        <v>1281</v>
      </c>
    </row>
    <row r="308" spans="1:11" x14ac:dyDescent="0.25">
      <c r="A308" t="s">
        <v>11</v>
      </c>
      <c r="B308" t="s">
        <v>12</v>
      </c>
      <c r="C308" t="str">
        <f>"0502484000"</f>
        <v>0502484000</v>
      </c>
      <c r="D308" t="s">
        <v>1282</v>
      </c>
      <c r="E308" t="s">
        <v>1283</v>
      </c>
      <c r="F308" t="s">
        <v>320</v>
      </c>
      <c r="G308" t="s">
        <v>321</v>
      </c>
      <c r="H308" s="1">
        <v>604.87</v>
      </c>
      <c r="I308" s="2">
        <v>43984.333333333336</v>
      </c>
      <c r="J308" s="2">
        <v>43984.833333333336</v>
      </c>
      <c r="K308" t="s">
        <v>1284</v>
      </c>
    </row>
    <row r="309" spans="1:11" x14ac:dyDescent="0.25">
      <c r="A309" t="s">
        <v>11</v>
      </c>
      <c r="B309" t="s">
        <v>284</v>
      </c>
      <c r="C309" t="str">
        <f>"2019-47766"</f>
        <v>2019-47766</v>
      </c>
      <c r="D309" t="s">
        <v>1285</v>
      </c>
      <c r="E309" t="s">
        <v>801</v>
      </c>
      <c r="F309" t="s">
        <v>802</v>
      </c>
      <c r="G309" t="s">
        <v>803</v>
      </c>
      <c r="H309" s="1">
        <v>605.63</v>
      </c>
      <c r="I309" s="2">
        <v>43984.333333333336</v>
      </c>
      <c r="J309" s="2">
        <v>43984.833333333336</v>
      </c>
      <c r="K309" t="s">
        <v>1286</v>
      </c>
    </row>
    <row r="310" spans="1:11" x14ac:dyDescent="0.25">
      <c r="A310" t="s">
        <v>11</v>
      </c>
      <c r="B310" t="s">
        <v>12</v>
      </c>
      <c r="C310" t="str">
        <f>"0503190500"</f>
        <v>0503190500</v>
      </c>
      <c r="D310" t="s">
        <v>1287</v>
      </c>
      <c r="E310" t="s">
        <v>1288</v>
      </c>
      <c r="F310" t="s">
        <v>1289</v>
      </c>
      <c r="G310" t="s">
        <v>1290</v>
      </c>
      <c r="H310" s="1">
        <v>605.86</v>
      </c>
      <c r="I310" s="2">
        <v>43984.333333333336</v>
      </c>
      <c r="J310" s="2">
        <v>43984.833333333336</v>
      </c>
      <c r="K310" t="s">
        <v>1291</v>
      </c>
    </row>
    <row r="311" spans="1:11" x14ac:dyDescent="0.25">
      <c r="A311" t="s">
        <v>11</v>
      </c>
      <c r="B311" t="s">
        <v>12</v>
      </c>
      <c r="C311" t="str">
        <f>"0505068000"</f>
        <v>0505068000</v>
      </c>
      <c r="D311" t="s">
        <v>1292</v>
      </c>
      <c r="E311" t="s">
        <v>1293</v>
      </c>
      <c r="F311" t="s">
        <v>1294</v>
      </c>
      <c r="G311" t="s">
        <v>1295</v>
      </c>
      <c r="H311" s="1">
        <v>606.6</v>
      </c>
      <c r="I311" s="2">
        <v>43984.333333333336</v>
      </c>
      <c r="J311" s="2">
        <v>43984.833333333336</v>
      </c>
      <c r="K311" t="s">
        <v>1296</v>
      </c>
    </row>
    <row r="312" spans="1:11" x14ac:dyDescent="0.25">
      <c r="A312" t="s">
        <v>11</v>
      </c>
      <c r="B312" t="s">
        <v>284</v>
      </c>
      <c r="C312" t="str">
        <f>"2019-46438"</f>
        <v>2019-46438</v>
      </c>
      <c r="D312" t="s">
        <v>1297</v>
      </c>
      <c r="E312" t="s">
        <v>1298</v>
      </c>
      <c r="F312" t="s">
        <v>1299</v>
      </c>
      <c r="G312" t="s">
        <v>1300</v>
      </c>
      <c r="H312" s="1">
        <v>609.61</v>
      </c>
      <c r="I312" s="2">
        <v>43984.333333333336</v>
      </c>
      <c r="J312" s="2">
        <v>43984.833333333336</v>
      </c>
      <c r="K312" t="s">
        <v>1301</v>
      </c>
    </row>
    <row r="313" spans="1:11" x14ac:dyDescent="0.25">
      <c r="A313" t="s">
        <v>11</v>
      </c>
      <c r="B313" t="s">
        <v>284</v>
      </c>
      <c r="C313" t="str">
        <f>"2019-79085"</f>
        <v>2019-79085</v>
      </c>
      <c r="D313" t="s">
        <v>1302</v>
      </c>
      <c r="E313" t="s">
        <v>1303</v>
      </c>
      <c r="F313" t="s">
        <v>1304</v>
      </c>
      <c r="G313" t="s">
        <v>1305</v>
      </c>
      <c r="H313" s="1">
        <v>612.12</v>
      </c>
      <c r="I313" s="2">
        <v>43984.333333333336</v>
      </c>
      <c r="J313" s="2">
        <v>43984.833333333336</v>
      </c>
      <c r="K313" t="s">
        <v>1306</v>
      </c>
    </row>
    <row r="314" spans="1:11" x14ac:dyDescent="0.25">
      <c r="A314" t="s">
        <v>11</v>
      </c>
      <c r="B314" t="s">
        <v>284</v>
      </c>
      <c r="C314" t="str">
        <f>"2019-30533"</f>
        <v>2019-30533</v>
      </c>
      <c r="D314" t="s">
        <v>1307</v>
      </c>
      <c r="E314" t="s">
        <v>1308</v>
      </c>
      <c r="F314" t="s">
        <v>1309</v>
      </c>
      <c r="G314" t="s">
        <v>1310</v>
      </c>
      <c r="H314" s="1">
        <v>613.04</v>
      </c>
      <c r="I314" s="2">
        <v>43984.333333333336</v>
      </c>
      <c r="J314" s="2">
        <v>43984.833333333336</v>
      </c>
      <c r="K314" t="s">
        <v>1311</v>
      </c>
    </row>
    <row r="315" spans="1:11" x14ac:dyDescent="0.25">
      <c r="A315" t="s">
        <v>11</v>
      </c>
      <c r="B315" t="s">
        <v>284</v>
      </c>
      <c r="C315" t="str">
        <f>"2019-19741"</f>
        <v>2019-19741</v>
      </c>
      <c r="D315" t="s">
        <v>1312</v>
      </c>
      <c r="E315" t="s">
        <v>1313</v>
      </c>
      <c r="F315" t="s">
        <v>320</v>
      </c>
      <c r="G315" t="s">
        <v>321</v>
      </c>
      <c r="H315" s="1">
        <v>614.20000000000005</v>
      </c>
      <c r="I315" s="2">
        <v>43984.333333333336</v>
      </c>
      <c r="J315" s="2">
        <v>43984.833333333336</v>
      </c>
      <c r="K315" t="s">
        <v>1314</v>
      </c>
    </row>
    <row r="316" spans="1:11" x14ac:dyDescent="0.25">
      <c r="A316" t="s">
        <v>11</v>
      </c>
      <c r="B316" t="s">
        <v>284</v>
      </c>
      <c r="C316" t="str">
        <f>"2019-71102"</f>
        <v>2019-71102</v>
      </c>
      <c r="D316" t="s">
        <v>1315</v>
      </c>
      <c r="E316" t="s">
        <v>1316</v>
      </c>
      <c r="F316" t="s">
        <v>1317</v>
      </c>
      <c r="G316" t="s">
        <v>1318</v>
      </c>
      <c r="H316" s="1">
        <v>614.20000000000005</v>
      </c>
      <c r="I316" s="2">
        <v>43984.333333333336</v>
      </c>
      <c r="J316" s="2">
        <v>43984.833333333336</v>
      </c>
      <c r="K316" t="s">
        <v>1319</v>
      </c>
    </row>
    <row r="317" spans="1:11" x14ac:dyDescent="0.25">
      <c r="A317" t="s">
        <v>11</v>
      </c>
      <c r="B317" t="s">
        <v>284</v>
      </c>
      <c r="C317" t="str">
        <f>"2019-61386"</f>
        <v>2019-61386</v>
      </c>
      <c r="D317" t="s">
        <v>1320</v>
      </c>
      <c r="E317" t="s">
        <v>1321</v>
      </c>
      <c r="F317" t="s">
        <v>1322</v>
      </c>
      <c r="G317" t="s">
        <v>741</v>
      </c>
      <c r="H317" s="1">
        <v>614.79</v>
      </c>
      <c r="I317" s="2">
        <v>43984.333333333336</v>
      </c>
      <c r="J317" s="2">
        <v>43984.833333333336</v>
      </c>
      <c r="K317" t="s">
        <v>1323</v>
      </c>
    </row>
    <row r="318" spans="1:11" x14ac:dyDescent="0.25">
      <c r="A318" t="s">
        <v>11</v>
      </c>
      <c r="B318" t="s">
        <v>12</v>
      </c>
      <c r="C318" t="str">
        <f>"0503175000"</f>
        <v>0503175000</v>
      </c>
      <c r="D318" t="s">
        <v>1324</v>
      </c>
      <c r="E318" t="s">
        <v>1325</v>
      </c>
      <c r="F318" t="s">
        <v>1326</v>
      </c>
      <c r="G318" t="s">
        <v>1327</v>
      </c>
      <c r="H318" s="1">
        <v>615.28</v>
      </c>
      <c r="I318" s="2">
        <v>43984.333333333336</v>
      </c>
      <c r="J318" s="2">
        <v>43984.833333333336</v>
      </c>
      <c r="K318" t="s">
        <v>1328</v>
      </c>
    </row>
    <row r="319" spans="1:11" x14ac:dyDescent="0.25">
      <c r="A319" t="s">
        <v>11</v>
      </c>
      <c r="B319" t="s">
        <v>284</v>
      </c>
      <c r="C319" t="str">
        <f>"2019-37104"</f>
        <v>2019-37104</v>
      </c>
      <c r="D319" t="s">
        <v>1329</v>
      </c>
      <c r="E319" t="s">
        <v>1330</v>
      </c>
      <c r="F319" t="s">
        <v>1331</v>
      </c>
      <c r="G319" t="s">
        <v>1332</v>
      </c>
      <c r="H319" s="1">
        <v>616.24</v>
      </c>
      <c r="I319" s="2">
        <v>43984.333333333336</v>
      </c>
      <c r="J319" s="2">
        <v>43984.833333333336</v>
      </c>
      <c r="K319" t="s">
        <v>1333</v>
      </c>
    </row>
    <row r="320" spans="1:11" x14ac:dyDescent="0.25">
      <c r="A320" t="s">
        <v>11</v>
      </c>
      <c r="B320" t="s">
        <v>284</v>
      </c>
      <c r="C320" t="str">
        <f>"2019-57895"</f>
        <v>2019-57895</v>
      </c>
      <c r="D320" t="s">
        <v>1334</v>
      </c>
      <c r="E320" t="s">
        <v>1335</v>
      </c>
      <c r="F320" t="s">
        <v>1336</v>
      </c>
      <c r="G320" t="s">
        <v>1337</v>
      </c>
      <c r="H320" s="1">
        <v>618.11</v>
      </c>
      <c r="I320" s="2">
        <v>43984.333333333336</v>
      </c>
      <c r="J320" s="2">
        <v>43984.833333333336</v>
      </c>
      <c r="K320" t="s">
        <v>1338</v>
      </c>
    </row>
    <row r="321" spans="1:11" x14ac:dyDescent="0.25">
      <c r="A321" t="s">
        <v>11</v>
      </c>
      <c r="B321" t="s">
        <v>284</v>
      </c>
      <c r="C321" t="str">
        <f>"2019-36314"</f>
        <v>2019-36314</v>
      </c>
      <c r="D321" t="s">
        <v>1339</v>
      </c>
      <c r="E321" t="s">
        <v>1340</v>
      </c>
      <c r="F321" t="s">
        <v>1341</v>
      </c>
      <c r="G321" t="s">
        <v>1342</v>
      </c>
      <c r="H321" s="1">
        <v>619.75</v>
      </c>
      <c r="I321" s="2">
        <v>43984.333333333336</v>
      </c>
      <c r="J321" s="2">
        <v>43984.833333333336</v>
      </c>
      <c r="K321" t="s">
        <v>1343</v>
      </c>
    </row>
    <row r="322" spans="1:11" x14ac:dyDescent="0.25">
      <c r="A322" t="s">
        <v>11</v>
      </c>
      <c r="B322" t="s">
        <v>284</v>
      </c>
      <c r="C322" t="str">
        <f>"2019-17992"</f>
        <v>2019-17992</v>
      </c>
      <c r="D322" t="s">
        <v>1344</v>
      </c>
      <c r="E322" t="s">
        <v>138</v>
      </c>
      <c r="F322" t="s">
        <v>139</v>
      </c>
      <c r="G322" t="s">
        <v>140</v>
      </c>
      <c r="H322" s="1">
        <v>625.44000000000005</v>
      </c>
      <c r="I322" s="2">
        <v>43984.333333333336</v>
      </c>
      <c r="J322" s="2">
        <v>43984.833333333336</v>
      </c>
      <c r="K322" t="s">
        <v>1345</v>
      </c>
    </row>
    <row r="323" spans="1:11" x14ac:dyDescent="0.25">
      <c r="A323" t="s">
        <v>11</v>
      </c>
      <c r="B323" t="s">
        <v>12</v>
      </c>
      <c r="C323" t="str">
        <f>"0504513000"</f>
        <v>0504513000</v>
      </c>
      <c r="D323" t="s">
        <v>1346</v>
      </c>
      <c r="E323" t="s">
        <v>1347</v>
      </c>
      <c r="F323" t="s">
        <v>1348</v>
      </c>
      <c r="G323" t="s">
        <v>1349</v>
      </c>
      <c r="H323" s="1">
        <v>626.69000000000005</v>
      </c>
      <c r="I323" s="2">
        <v>43984.333333333336</v>
      </c>
      <c r="J323" s="2">
        <v>43984.833333333336</v>
      </c>
      <c r="K323" t="s">
        <v>1350</v>
      </c>
    </row>
    <row r="324" spans="1:11" x14ac:dyDescent="0.25">
      <c r="A324" t="s">
        <v>11</v>
      </c>
      <c r="B324" t="s">
        <v>284</v>
      </c>
      <c r="C324" t="str">
        <f>"2019-10688"</f>
        <v>2019-10688</v>
      </c>
      <c r="D324" t="s">
        <v>1351</v>
      </c>
      <c r="E324" t="s">
        <v>1352</v>
      </c>
      <c r="F324" t="s">
        <v>1353</v>
      </c>
      <c r="G324" t="s">
        <v>1354</v>
      </c>
      <c r="H324" s="1">
        <v>628.02</v>
      </c>
      <c r="I324" s="2">
        <v>43984.333333333336</v>
      </c>
      <c r="J324" s="2">
        <v>43984.833333333336</v>
      </c>
      <c r="K324" t="s">
        <v>1355</v>
      </c>
    </row>
    <row r="325" spans="1:11" x14ac:dyDescent="0.25">
      <c r="A325" t="s">
        <v>11</v>
      </c>
      <c r="B325" t="s">
        <v>12</v>
      </c>
      <c r="C325" t="str">
        <f>"0500163880"</f>
        <v>0500163880</v>
      </c>
      <c r="D325" t="s">
        <v>1356</v>
      </c>
      <c r="E325" t="s">
        <v>1357</v>
      </c>
      <c r="F325" t="s">
        <v>1358</v>
      </c>
      <c r="G325" t="s">
        <v>1359</v>
      </c>
      <c r="H325" s="1">
        <v>629.55999999999995</v>
      </c>
      <c r="I325" s="2">
        <v>43984.333333333336</v>
      </c>
      <c r="J325" s="2">
        <v>43984.833333333336</v>
      </c>
      <c r="K325" t="s">
        <v>1360</v>
      </c>
    </row>
    <row r="326" spans="1:11" x14ac:dyDescent="0.25">
      <c r="A326" t="s">
        <v>11</v>
      </c>
      <c r="B326" t="s">
        <v>284</v>
      </c>
      <c r="C326" t="str">
        <f>"2019-61157"</f>
        <v>2019-61157</v>
      </c>
      <c r="D326" t="s">
        <v>1361</v>
      </c>
      <c r="E326" t="s">
        <v>1362</v>
      </c>
      <c r="F326" t="s">
        <v>292</v>
      </c>
      <c r="G326" t="s">
        <v>596</v>
      </c>
      <c r="H326" s="1">
        <v>631.42999999999995</v>
      </c>
      <c r="I326" s="2">
        <v>43984.333333333336</v>
      </c>
      <c r="J326" s="2">
        <v>43984.833333333336</v>
      </c>
      <c r="K326" t="s">
        <v>1363</v>
      </c>
    </row>
    <row r="327" spans="1:11" x14ac:dyDescent="0.25">
      <c r="A327" t="s">
        <v>11</v>
      </c>
      <c r="B327" t="s">
        <v>284</v>
      </c>
      <c r="C327" t="str">
        <f>"2019-56405"</f>
        <v>2019-56405</v>
      </c>
      <c r="D327" t="s">
        <v>1364</v>
      </c>
      <c r="E327" t="s">
        <v>861</v>
      </c>
      <c r="F327" t="s">
        <v>862</v>
      </c>
      <c r="G327" t="s">
        <v>1365</v>
      </c>
      <c r="H327" s="1">
        <v>633.78</v>
      </c>
      <c r="I327" s="2">
        <v>43984.333333333336</v>
      </c>
      <c r="J327" s="2">
        <v>43984.833333333336</v>
      </c>
      <c r="K327" t="s">
        <v>1366</v>
      </c>
    </row>
    <row r="328" spans="1:11" x14ac:dyDescent="0.25">
      <c r="A328" t="s">
        <v>11</v>
      </c>
      <c r="B328" t="s">
        <v>284</v>
      </c>
      <c r="C328" t="str">
        <f>"2019-38768"</f>
        <v>2019-38768</v>
      </c>
      <c r="D328" t="s">
        <v>1367</v>
      </c>
      <c r="E328" t="s">
        <v>1368</v>
      </c>
      <c r="F328" t="s">
        <v>1369</v>
      </c>
      <c r="G328" t="s">
        <v>1370</v>
      </c>
      <c r="H328" s="1">
        <v>634.07000000000005</v>
      </c>
      <c r="I328" s="2">
        <v>43984.333333333336</v>
      </c>
      <c r="J328" s="2">
        <v>43984.833333333336</v>
      </c>
      <c r="K328" t="s">
        <v>1371</v>
      </c>
    </row>
    <row r="329" spans="1:11" x14ac:dyDescent="0.25">
      <c r="A329" t="s">
        <v>11</v>
      </c>
      <c r="B329" t="s">
        <v>284</v>
      </c>
      <c r="C329" t="str">
        <f>"2019-14457"</f>
        <v>2019-14457</v>
      </c>
      <c r="D329" t="s">
        <v>1372</v>
      </c>
      <c r="E329" t="s">
        <v>1373</v>
      </c>
      <c r="F329" t="s">
        <v>1374</v>
      </c>
      <c r="G329" t="s">
        <v>1375</v>
      </c>
      <c r="H329" s="1">
        <v>634.29999999999995</v>
      </c>
      <c r="I329" s="2">
        <v>43984.333333333336</v>
      </c>
      <c r="J329" s="2">
        <v>43984.833333333336</v>
      </c>
      <c r="K329" t="s">
        <v>1376</v>
      </c>
    </row>
    <row r="330" spans="1:11" x14ac:dyDescent="0.25">
      <c r="A330" t="s">
        <v>11</v>
      </c>
      <c r="B330" t="s">
        <v>284</v>
      </c>
      <c r="C330" t="str">
        <f>"2019-66753"</f>
        <v>2019-66753</v>
      </c>
      <c r="D330" t="s">
        <v>1377</v>
      </c>
      <c r="E330" t="s">
        <v>182</v>
      </c>
      <c r="F330" t="s">
        <v>183</v>
      </c>
      <c r="G330" t="s">
        <v>184</v>
      </c>
      <c r="H330" s="1">
        <v>635.03</v>
      </c>
      <c r="I330" s="2">
        <v>43984.333333333336</v>
      </c>
      <c r="J330" s="2">
        <v>43984.833333333336</v>
      </c>
      <c r="K330" t="s">
        <v>1378</v>
      </c>
    </row>
    <row r="331" spans="1:11" x14ac:dyDescent="0.25">
      <c r="A331" t="s">
        <v>11</v>
      </c>
      <c r="B331" t="s">
        <v>284</v>
      </c>
      <c r="C331" t="str">
        <f>"2019-26525"</f>
        <v>2019-26525</v>
      </c>
      <c r="D331" t="s">
        <v>1379</v>
      </c>
      <c r="E331" t="s">
        <v>224</v>
      </c>
      <c r="F331" t="s">
        <v>225</v>
      </c>
      <c r="G331" t="s">
        <v>1380</v>
      </c>
      <c r="H331" s="1">
        <v>635.19000000000005</v>
      </c>
      <c r="I331" s="2">
        <v>43984.333333333336</v>
      </c>
      <c r="J331" s="2">
        <v>43984.833333333336</v>
      </c>
      <c r="K331" t="s">
        <v>1381</v>
      </c>
    </row>
    <row r="332" spans="1:11" x14ac:dyDescent="0.25">
      <c r="A332" t="s">
        <v>11</v>
      </c>
      <c r="B332" t="s">
        <v>284</v>
      </c>
      <c r="C332" t="str">
        <f>"2019-46354"</f>
        <v>2019-46354</v>
      </c>
      <c r="D332" t="s">
        <v>1382</v>
      </c>
      <c r="E332" t="s">
        <v>1383</v>
      </c>
      <c r="F332" t="s">
        <v>1384</v>
      </c>
      <c r="G332" t="s">
        <v>1385</v>
      </c>
      <c r="H332" s="1">
        <v>635.45000000000005</v>
      </c>
      <c r="I332" s="2">
        <v>43984.333333333336</v>
      </c>
      <c r="J332" s="2">
        <v>43984.833333333336</v>
      </c>
      <c r="K332" t="s">
        <v>1386</v>
      </c>
    </row>
    <row r="333" spans="1:11" x14ac:dyDescent="0.25">
      <c r="A333" t="s">
        <v>11</v>
      </c>
      <c r="B333" t="s">
        <v>284</v>
      </c>
      <c r="C333" t="str">
        <f>"2019-65745"</f>
        <v>2019-65745</v>
      </c>
      <c r="D333" t="s">
        <v>1387</v>
      </c>
      <c r="E333" t="s">
        <v>1388</v>
      </c>
      <c r="F333" t="s">
        <v>678</v>
      </c>
      <c r="G333" t="s">
        <v>679</v>
      </c>
      <c r="H333" s="1">
        <v>636.44000000000005</v>
      </c>
      <c r="I333" s="2">
        <v>43984.333333333336</v>
      </c>
      <c r="J333" s="2">
        <v>43984.833333333336</v>
      </c>
      <c r="K333" t="s">
        <v>1389</v>
      </c>
    </row>
    <row r="334" spans="1:11" x14ac:dyDescent="0.25">
      <c r="A334" t="s">
        <v>11</v>
      </c>
      <c r="B334" t="s">
        <v>284</v>
      </c>
      <c r="C334" t="str">
        <f>"2019-14559"</f>
        <v>2019-14559</v>
      </c>
      <c r="D334" t="s">
        <v>1390</v>
      </c>
      <c r="E334" t="s">
        <v>1391</v>
      </c>
      <c r="F334" t="s">
        <v>1392</v>
      </c>
      <c r="G334" t="s">
        <v>1393</v>
      </c>
      <c r="H334" s="1">
        <v>636.58000000000004</v>
      </c>
      <c r="I334" s="2">
        <v>43984.333333333336</v>
      </c>
      <c r="J334" s="2">
        <v>43984.833333333336</v>
      </c>
      <c r="K334" t="s">
        <v>1394</v>
      </c>
    </row>
    <row r="335" spans="1:11" x14ac:dyDescent="0.25">
      <c r="A335" t="s">
        <v>11</v>
      </c>
      <c r="B335" t="s">
        <v>12</v>
      </c>
      <c r="C335" t="str">
        <f>"0503311990"</f>
        <v>0503311990</v>
      </c>
      <c r="D335" t="s">
        <v>1395</v>
      </c>
      <c r="E335" t="s">
        <v>1396</v>
      </c>
      <c r="F335" t="s">
        <v>1397</v>
      </c>
      <c r="G335" t="s">
        <v>1398</v>
      </c>
      <c r="H335" s="1">
        <v>639.26</v>
      </c>
      <c r="I335" s="2">
        <v>43984.333333333336</v>
      </c>
      <c r="J335" s="2">
        <v>43984.833333333336</v>
      </c>
      <c r="K335" t="s">
        <v>1399</v>
      </c>
    </row>
    <row r="336" spans="1:11" x14ac:dyDescent="0.25">
      <c r="A336" t="s">
        <v>11</v>
      </c>
      <c r="B336" t="s">
        <v>284</v>
      </c>
      <c r="C336" t="str">
        <f>"2019-70227"</f>
        <v>2019-70227</v>
      </c>
      <c r="D336" t="s">
        <v>865</v>
      </c>
      <c r="E336" t="s">
        <v>866</v>
      </c>
      <c r="F336" t="s">
        <v>867</v>
      </c>
      <c r="G336" t="s">
        <v>868</v>
      </c>
      <c r="H336" s="1">
        <v>642.79999999999995</v>
      </c>
      <c r="I336" s="2">
        <v>43984.333333333336</v>
      </c>
      <c r="J336" s="2">
        <v>43984.833333333336</v>
      </c>
      <c r="K336" t="s">
        <v>1400</v>
      </c>
    </row>
    <row r="337" spans="1:11" x14ac:dyDescent="0.25">
      <c r="A337" t="s">
        <v>11</v>
      </c>
      <c r="B337" t="s">
        <v>284</v>
      </c>
      <c r="C337" t="str">
        <f>"2019-30550"</f>
        <v>2019-30550</v>
      </c>
      <c r="D337" t="s">
        <v>1401</v>
      </c>
      <c r="E337" t="s">
        <v>1402</v>
      </c>
      <c r="F337" t="s">
        <v>1403</v>
      </c>
      <c r="G337" t="s">
        <v>1404</v>
      </c>
      <c r="H337" s="1">
        <v>643.84</v>
      </c>
      <c r="I337" s="2">
        <v>43984.333333333336</v>
      </c>
      <c r="J337" s="2">
        <v>43984.833333333336</v>
      </c>
      <c r="K337" t="s">
        <v>1405</v>
      </c>
    </row>
    <row r="338" spans="1:11" x14ac:dyDescent="0.25">
      <c r="A338" t="s">
        <v>11</v>
      </c>
      <c r="B338" t="s">
        <v>284</v>
      </c>
      <c r="C338" t="str">
        <f>"2019-52560"</f>
        <v>2019-52560</v>
      </c>
      <c r="D338" t="s">
        <v>1406</v>
      </c>
      <c r="E338" t="s">
        <v>1407</v>
      </c>
      <c r="F338" t="s">
        <v>1408</v>
      </c>
      <c r="G338" t="s">
        <v>1409</v>
      </c>
      <c r="H338" s="1">
        <v>646</v>
      </c>
      <c r="I338" s="2">
        <v>43984.333333333336</v>
      </c>
      <c r="J338" s="2">
        <v>43984.833333333336</v>
      </c>
      <c r="K338" t="s">
        <v>1410</v>
      </c>
    </row>
    <row r="339" spans="1:11" x14ac:dyDescent="0.25">
      <c r="A339" t="s">
        <v>11</v>
      </c>
      <c r="B339" t="s">
        <v>284</v>
      </c>
      <c r="C339" t="str">
        <f>"2019-58213"</f>
        <v>2019-58213</v>
      </c>
      <c r="D339" t="s">
        <v>1411</v>
      </c>
      <c r="E339" t="s">
        <v>59</v>
      </c>
      <c r="F339" t="s">
        <v>60</v>
      </c>
      <c r="G339" t="s">
        <v>1412</v>
      </c>
      <c r="H339" s="1">
        <v>647.01</v>
      </c>
      <c r="I339" s="2">
        <v>43984.333333333336</v>
      </c>
      <c r="J339" s="2">
        <v>43984.833333333336</v>
      </c>
      <c r="K339" t="s">
        <v>1413</v>
      </c>
    </row>
    <row r="340" spans="1:11" x14ac:dyDescent="0.25">
      <c r="A340" t="s">
        <v>11</v>
      </c>
      <c r="B340" t="s">
        <v>12</v>
      </c>
      <c r="C340" t="str">
        <f>"0501971000"</f>
        <v>0501971000</v>
      </c>
      <c r="D340" t="s">
        <v>1414</v>
      </c>
      <c r="E340" t="s">
        <v>1415</v>
      </c>
      <c r="F340" t="s">
        <v>1294</v>
      </c>
      <c r="G340" t="s">
        <v>1416</v>
      </c>
      <c r="H340" s="1">
        <v>647.29</v>
      </c>
      <c r="I340" s="2">
        <v>43984.333333333336</v>
      </c>
      <c r="J340" s="2">
        <v>43984.833333333336</v>
      </c>
      <c r="K340" t="s">
        <v>1417</v>
      </c>
    </row>
    <row r="341" spans="1:11" x14ac:dyDescent="0.25">
      <c r="A341" t="s">
        <v>11</v>
      </c>
      <c r="B341" t="s">
        <v>284</v>
      </c>
      <c r="C341" t="str">
        <f>"2019-21675"</f>
        <v>2019-21675</v>
      </c>
      <c r="D341" t="s">
        <v>63</v>
      </c>
      <c r="E341" t="s">
        <v>64</v>
      </c>
      <c r="F341" t="s">
        <v>65</v>
      </c>
      <c r="G341" t="s">
        <v>66</v>
      </c>
      <c r="H341" s="1">
        <v>648.15</v>
      </c>
      <c r="I341" s="2">
        <v>43984.333333333336</v>
      </c>
      <c r="J341" s="2">
        <v>43984.833333333336</v>
      </c>
      <c r="K341" t="s">
        <v>1418</v>
      </c>
    </row>
    <row r="342" spans="1:11" x14ac:dyDescent="0.25">
      <c r="A342" t="s">
        <v>11</v>
      </c>
      <c r="B342" t="s">
        <v>284</v>
      </c>
      <c r="C342" t="str">
        <f>"2019-36544"</f>
        <v>2019-36544</v>
      </c>
      <c r="D342" t="s">
        <v>1419</v>
      </c>
      <c r="E342" t="s">
        <v>872</v>
      </c>
      <c r="F342" t="s">
        <v>372</v>
      </c>
      <c r="G342" t="s">
        <v>282</v>
      </c>
      <c r="H342" s="1">
        <v>649.45000000000005</v>
      </c>
      <c r="I342" s="2">
        <v>43984.333333333336</v>
      </c>
      <c r="J342" s="2">
        <v>43984.833333333336</v>
      </c>
      <c r="K342" t="s">
        <v>1420</v>
      </c>
    </row>
    <row r="343" spans="1:11" x14ac:dyDescent="0.25">
      <c r="A343" t="s">
        <v>11</v>
      </c>
      <c r="B343" t="s">
        <v>284</v>
      </c>
      <c r="C343" t="str">
        <f>"2019-22911"</f>
        <v>2019-22911</v>
      </c>
      <c r="D343" t="s">
        <v>1421</v>
      </c>
      <c r="E343" t="s">
        <v>1422</v>
      </c>
      <c r="F343" t="s">
        <v>1423</v>
      </c>
      <c r="G343" t="s">
        <v>838</v>
      </c>
      <c r="H343" s="1">
        <v>650.27</v>
      </c>
      <c r="I343" s="2">
        <v>43984.333333333336</v>
      </c>
      <c r="J343" s="2">
        <v>43984.833333333336</v>
      </c>
      <c r="K343" t="s">
        <v>1424</v>
      </c>
    </row>
    <row r="344" spans="1:11" x14ac:dyDescent="0.25">
      <c r="A344" t="s">
        <v>11</v>
      </c>
      <c r="B344" t="s">
        <v>284</v>
      </c>
      <c r="C344" t="str">
        <f>"2019-78790"</f>
        <v>2019-78790</v>
      </c>
      <c r="D344" t="s">
        <v>1425</v>
      </c>
      <c r="E344" t="s">
        <v>1426</v>
      </c>
      <c r="F344" t="s">
        <v>1427</v>
      </c>
      <c r="G344" t="s">
        <v>1428</v>
      </c>
      <c r="H344" s="1">
        <v>651.28</v>
      </c>
      <c r="I344" s="2">
        <v>43984.333333333336</v>
      </c>
      <c r="J344" s="2">
        <v>43984.833333333336</v>
      </c>
      <c r="K344" t="s">
        <v>1429</v>
      </c>
    </row>
    <row r="345" spans="1:11" x14ac:dyDescent="0.25">
      <c r="A345" t="s">
        <v>11</v>
      </c>
      <c r="B345" t="s">
        <v>284</v>
      </c>
      <c r="C345" t="str">
        <f>"2019-57463"</f>
        <v>2019-57463</v>
      </c>
      <c r="D345" t="s">
        <v>1430</v>
      </c>
      <c r="E345" t="s">
        <v>890</v>
      </c>
      <c r="F345" t="s">
        <v>90</v>
      </c>
      <c r="G345" t="s">
        <v>91</v>
      </c>
      <c r="H345" s="1">
        <v>656.99</v>
      </c>
      <c r="I345" s="2">
        <v>43984.333333333336</v>
      </c>
      <c r="J345" s="2">
        <v>43984.833333333336</v>
      </c>
      <c r="K345" t="s">
        <v>1431</v>
      </c>
    </row>
    <row r="346" spans="1:11" x14ac:dyDescent="0.25">
      <c r="A346" t="s">
        <v>11</v>
      </c>
      <c r="B346" t="s">
        <v>284</v>
      </c>
      <c r="C346" t="str">
        <f>"2019-76871"</f>
        <v>2019-76871</v>
      </c>
      <c r="D346" t="s">
        <v>1432</v>
      </c>
      <c r="E346" t="s">
        <v>1433</v>
      </c>
      <c r="F346" t="s">
        <v>1211</v>
      </c>
      <c r="G346" t="s">
        <v>1212</v>
      </c>
      <c r="H346" s="1">
        <v>660.23</v>
      </c>
      <c r="I346" s="2">
        <v>43984.333333333336</v>
      </c>
      <c r="J346" s="2">
        <v>43984.833333333336</v>
      </c>
      <c r="K346" t="s">
        <v>1434</v>
      </c>
    </row>
    <row r="347" spans="1:11" x14ac:dyDescent="0.25">
      <c r="A347" t="s">
        <v>11</v>
      </c>
      <c r="B347" t="s">
        <v>284</v>
      </c>
      <c r="C347" t="str">
        <f>"2019-18464"</f>
        <v>2019-18464</v>
      </c>
      <c r="D347" t="s">
        <v>1435</v>
      </c>
      <c r="E347" t="s">
        <v>907</v>
      </c>
      <c r="F347" t="s">
        <v>320</v>
      </c>
      <c r="G347" t="s">
        <v>321</v>
      </c>
      <c r="H347" s="1">
        <v>660.47</v>
      </c>
      <c r="I347" s="2">
        <v>43984.333333333336</v>
      </c>
      <c r="J347" s="2">
        <v>43984.833333333336</v>
      </c>
      <c r="K347" t="s">
        <v>1436</v>
      </c>
    </row>
    <row r="348" spans="1:11" x14ac:dyDescent="0.25">
      <c r="A348" t="s">
        <v>11</v>
      </c>
      <c r="B348" t="s">
        <v>284</v>
      </c>
      <c r="C348" t="str">
        <f>"2019-55080"</f>
        <v>2019-55080</v>
      </c>
      <c r="D348" t="s">
        <v>1437</v>
      </c>
      <c r="E348" t="s">
        <v>74</v>
      </c>
      <c r="F348" t="s">
        <v>75</v>
      </c>
      <c r="G348" t="s">
        <v>76</v>
      </c>
      <c r="H348" s="1">
        <v>661.06</v>
      </c>
      <c r="I348" s="2">
        <v>43984.333333333336</v>
      </c>
      <c r="J348" s="2">
        <v>43984.833333333336</v>
      </c>
      <c r="K348" t="s">
        <v>1438</v>
      </c>
    </row>
    <row r="349" spans="1:11" x14ac:dyDescent="0.25">
      <c r="A349" t="s">
        <v>11</v>
      </c>
      <c r="B349" t="s">
        <v>284</v>
      </c>
      <c r="C349" t="str">
        <f>"2019-18195"</f>
        <v>2019-18195</v>
      </c>
      <c r="D349" t="s">
        <v>1439</v>
      </c>
      <c r="E349" t="s">
        <v>1440</v>
      </c>
      <c r="F349" t="s">
        <v>1441</v>
      </c>
      <c r="G349" t="s">
        <v>1442</v>
      </c>
      <c r="H349" s="1">
        <v>662.67</v>
      </c>
      <c r="I349" s="2">
        <v>43984.333333333336</v>
      </c>
      <c r="J349" s="2">
        <v>43984.833333333336</v>
      </c>
      <c r="K349" t="s">
        <v>1443</v>
      </c>
    </row>
    <row r="350" spans="1:11" x14ac:dyDescent="0.25">
      <c r="A350" t="s">
        <v>11</v>
      </c>
      <c r="B350" t="s">
        <v>284</v>
      </c>
      <c r="C350" t="str">
        <f>"2019-84932"</f>
        <v>2019-84932</v>
      </c>
      <c r="D350" t="s">
        <v>914</v>
      </c>
      <c r="E350" t="s">
        <v>915</v>
      </c>
      <c r="F350" t="s">
        <v>916</v>
      </c>
      <c r="G350" t="s">
        <v>917</v>
      </c>
      <c r="H350" s="1">
        <v>662.98</v>
      </c>
      <c r="I350" s="2">
        <v>43984.333333333336</v>
      </c>
      <c r="J350" s="2">
        <v>43984.833333333336</v>
      </c>
      <c r="K350" t="s">
        <v>1444</v>
      </c>
    </row>
    <row r="351" spans="1:11" x14ac:dyDescent="0.25">
      <c r="A351" t="s">
        <v>11</v>
      </c>
      <c r="B351" t="s">
        <v>12</v>
      </c>
      <c r="C351" t="str">
        <f>"0500512140"</f>
        <v>0500512140</v>
      </c>
      <c r="D351" t="s">
        <v>1445</v>
      </c>
      <c r="E351" t="s">
        <v>1446</v>
      </c>
      <c r="F351" t="s">
        <v>1447</v>
      </c>
      <c r="G351" t="s">
        <v>1448</v>
      </c>
      <c r="H351" s="1">
        <v>664.15</v>
      </c>
      <c r="I351" s="2">
        <v>43984.333333333336</v>
      </c>
      <c r="J351" s="2">
        <v>43984.833333333336</v>
      </c>
      <c r="K351" t="s">
        <v>1449</v>
      </c>
    </row>
    <row r="352" spans="1:11" x14ac:dyDescent="0.25">
      <c r="A352" t="s">
        <v>11</v>
      </c>
      <c r="B352" t="s">
        <v>12</v>
      </c>
      <c r="C352" t="str">
        <f>"0501712000"</f>
        <v>0501712000</v>
      </c>
      <c r="D352" t="s">
        <v>1372</v>
      </c>
      <c r="E352" t="s">
        <v>1373</v>
      </c>
      <c r="F352" t="s">
        <v>1374</v>
      </c>
      <c r="G352" t="s">
        <v>1375</v>
      </c>
      <c r="H352" s="1">
        <v>666.46</v>
      </c>
      <c r="I352" s="2">
        <v>43984.333333333336</v>
      </c>
      <c r="J352" s="2">
        <v>43984.833333333336</v>
      </c>
      <c r="K352" t="s">
        <v>1450</v>
      </c>
    </row>
    <row r="353" spans="1:11" x14ac:dyDescent="0.25">
      <c r="A353" t="s">
        <v>11</v>
      </c>
      <c r="B353" t="s">
        <v>284</v>
      </c>
      <c r="C353" t="str">
        <f>"2019-30622"</f>
        <v>2019-30622</v>
      </c>
      <c r="D353" t="s">
        <v>1451</v>
      </c>
      <c r="E353" t="s">
        <v>1452</v>
      </c>
      <c r="F353" t="s">
        <v>1088</v>
      </c>
      <c r="G353" t="s">
        <v>377</v>
      </c>
      <c r="H353" s="1">
        <v>668.95</v>
      </c>
      <c r="I353" s="2">
        <v>43984.333333333336</v>
      </c>
      <c r="J353" s="2">
        <v>43984.833333333336</v>
      </c>
      <c r="K353" t="s">
        <v>1453</v>
      </c>
    </row>
    <row r="354" spans="1:11" x14ac:dyDescent="0.25">
      <c r="A354" t="s">
        <v>11</v>
      </c>
      <c r="B354" t="s">
        <v>12</v>
      </c>
      <c r="C354" t="str">
        <f>"0504515500"</f>
        <v>0504515500</v>
      </c>
      <c r="D354" t="s">
        <v>1454</v>
      </c>
      <c r="E354" t="s">
        <v>1455</v>
      </c>
      <c r="F354" t="s">
        <v>1456</v>
      </c>
      <c r="G354" t="s">
        <v>1457</v>
      </c>
      <c r="H354" s="1">
        <v>670.5</v>
      </c>
      <c r="I354" s="2">
        <v>43984.333333333336</v>
      </c>
      <c r="J354" s="2">
        <v>43984.833333333336</v>
      </c>
      <c r="K354" t="s">
        <v>1458</v>
      </c>
    </row>
    <row r="355" spans="1:11" x14ac:dyDescent="0.25">
      <c r="A355" t="s">
        <v>11</v>
      </c>
      <c r="B355" t="s">
        <v>12</v>
      </c>
      <c r="C355" t="str">
        <f>"0502743095"</f>
        <v>0502743095</v>
      </c>
      <c r="D355" t="s">
        <v>1459</v>
      </c>
      <c r="E355" t="s">
        <v>1460</v>
      </c>
      <c r="F355" t="s">
        <v>320</v>
      </c>
      <c r="G355" t="s">
        <v>321</v>
      </c>
      <c r="H355" s="1">
        <v>671.72</v>
      </c>
      <c r="I355" s="2">
        <v>43984.333333333336</v>
      </c>
      <c r="J355" s="2">
        <v>43984.833333333336</v>
      </c>
      <c r="K355" t="s">
        <v>1461</v>
      </c>
    </row>
    <row r="356" spans="1:11" x14ac:dyDescent="0.25">
      <c r="A356" t="s">
        <v>11</v>
      </c>
      <c r="B356" t="s">
        <v>284</v>
      </c>
      <c r="C356" t="str">
        <f>"2019-52951"</f>
        <v>2019-52951</v>
      </c>
      <c r="D356" t="s">
        <v>1462</v>
      </c>
      <c r="E356" t="s">
        <v>1463</v>
      </c>
      <c r="F356" t="s">
        <v>1464</v>
      </c>
      <c r="G356" t="s">
        <v>1465</v>
      </c>
      <c r="H356" s="1">
        <v>673.63</v>
      </c>
      <c r="I356" s="2">
        <v>43984.333333333336</v>
      </c>
      <c r="J356" s="2">
        <v>43984.833333333336</v>
      </c>
      <c r="K356" t="s">
        <v>1466</v>
      </c>
    </row>
    <row r="357" spans="1:11" x14ac:dyDescent="0.25">
      <c r="A357" t="s">
        <v>11</v>
      </c>
      <c r="B357" t="s">
        <v>284</v>
      </c>
      <c r="C357" t="str">
        <f>"2019-70193"</f>
        <v>2019-70193</v>
      </c>
      <c r="D357" t="s">
        <v>1467</v>
      </c>
      <c r="E357" t="s">
        <v>1468</v>
      </c>
      <c r="F357" t="s">
        <v>1469</v>
      </c>
      <c r="G357" t="s">
        <v>1470</v>
      </c>
      <c r="H357" s="1">
        <v>674.7</v>
      </c>
      <c r="I357" s="2">
        <v>43984.333333333336</v>
      </c>
      <c r="J357" s="2">
        <v>43984.833333333336</v>
      </c>
      <c r="K357" t="s">
        <v>1471</v>
      </c>
    </row>
    <row r="358" spans="1:11" x14ac:dyDescent="0.25">
      <c r="A358" t="s">
        <v>11</v>
      </c>
      <c r="B358" t="s">
        <v>284</v>
      </c>
      <c r="C358" t="str">
        <f>"2019-43989"</f>
        <v>2019-43989</v>
      </c>
      <c r="D358" t="s">
        <v>1472</v>
      </c>
      <c r="E358" t="s">
        <v>1473</v>
      </c>
      <c r="F358" t="s">
        <v>1474</v>
      </c>
      <c r="G358" t="s">
        <v>1475</v>
      </c>
      <c r="H358" s="1">
        <v>678.5</v>
      </c>
      <c r="I358" s="2">
        <v>43984.333333333336</v>
      </c>
      <c r="J358" s="2">
        <v>43984.833333333336</v>
      </c>
      <c r="K358" t="s">
        <v>1476</v>
      </c>
    </row>
    <row r="359" spans="1:11" x14ac:dyDescent="0.25">
      <c r="A359" t="s">
        <v>11</v>
      </c>
      <c r="B359" t="s">
        <v>284</v>
      </c>
      <c r="C359" t="str">
        <f>"2019-74502"</f>
        <v>2019-74502</v>
      </c>
      <c r="D359" t="s">
        <v>1477</v>
      </c>
      <c r="E359" t="s">
        <v>1478</v>
      </c>
      <c r="F359" t="s">
        <v>1479</v>
      </c>
      <c r="G359" t="s">
        <v>1480</v>
      </c>
      <c r="H359" s="1">
        <v>684.82</v>
      </c>
      <c r="I359" s="2">
        <v>43984.333333333336</v>
      </c>
      <c r="J359" s="2">
        <v>43984.833333333336</v>
      </c>
      <c r="K359" t="s">
        <v>1481</v>
      </c>
    </row>
    <row r="360" spans="1:11" x14ac:dyDescent="0.25">
      <c r="A360" t="s">
        <v>11</v>
      </c>
      <c r="B360" t="s">
        <v>284</v>
      </c>
      <c r="C360" t="str">
        <f>"2019-35350"</f>
        <v>2019-35350</v>
      </c>
      <c r="D360" t="s">
        <v>1482</v>
      </c>
      <c r="E360" t="s">
        <v>1483</v>
      </c>
      <c r="F360" t="s">
        <v>876</v>
      </c>
      <c r="G360" t="s">
        <v>377</v>
      </c>
      <c r="H360" s="1">
        <v>685.31</v>
      </c>
      <c r="I360" s="2">
        <v>43984.333333333336</v>
      </c>
      <c r="J360" s="2">
        <v>43984.833333333336</v>
      </c>
      <c r="K360" t="s">
        <v>1484</v>
      </c>
    </row>
    <row r="361" spans="1:11" x14ac:dyDescent="0.25">
      <c r="A361" t="s">
        <v>11</v>
      </c>
      <c r="B361" t="s">
        <v>284</v>
      </c>
      <c r="C361" t="str">
        <f>"2019-57083"</f>
        <v>2019-57083</v>
      </c>
      <c r="D361" t="s">
        <v>1485</v>
      </c>
      <c r="E361" t="s">
        <v>229</v>
      </c>
      <c r="F361" t="s">
        <v>80</v>
      </c>
      <c r="G361" t="s">
        <v>191</v>
      </c>
      <c r="H361" s="1">
        <v>685.75</v>
      </c>
      <c r="I361" s="2">
        <v>43984.333333333336</v>
      </c>
      <c r="J361" s="2">
        <v>43984.833333333336</v>
      </c>
      <c r="K361" t="s">
        <v>1486</v>
      </c>
    </row>
    <row r="362" spans="1:11" x14ac:dyDescent="0.25">
      <c r="A362" t="s">
        <v>11</v>
      </c>
      <c r="B362" t="s">
        <v>284</v>
      </c>
      <c r="C362" t="str">
        <f>"2019-32817"</f>
        <v>2019-32817</v>
      </c>
      <c r="D362" t="s">
        <v>1487</v>
      </c>
      <c r="E362" t="s">
        <v>1488</v>
      </c>
      <c r="F362" t="s">
        <v>391</v>
      </c>
      <c r="G362" t="s">
        <v>1489</v>
      </c>
      <c r="H362" s="1">
        <v>686.86</v>
      </c>
      <c r="I362" s="2">
        <v>43984.333333333336</v>
      </c>
      <c r="J362" s="2">
        <v>43984.833333333336</v>
      </c>
      <c r="K362" t="s">
        <v>1490</v>
      </c>
    </row>
    <row r="363" spans="1:11" x14ac:dyDescent="0.25">
      <c r="A363" t="s">
        <v>11</v>
      </c>
      <c r="B363" t="s">
        <v>12</v>
      </c>
      <c r="C363" t="str">
        <f>"0501356500"</f>
        <v>0501356500</v>
      </c>
      <c r="D363" t="s">
        <v>1491</v>
      </c>
      <c r="E363" t="s">
        <v>1492</v>
      </c>
      <c r="F363" t="s">
        <v>1493</v>
      </c>
      <c r="G363" t="s">
        <v>1158</v>
      </c>
      <c r="H363" s="1">
        <v>691.11</v>
      </c>
      <c r="I363" s="2">
        <v>43984.333333333336</v>
      </c>
      <c r="J363" s="2">
        <v>43984.833333333336</v>
      </c>
      <c r="K363" t="s">
        <v>1494</v>
      </c>
    </row>
    <row r="364" spans="1:11" x14ac:dyDescent="0.25">
      <c r="A364" t="s">
        <v>11</v>
      </c>
      <c r="B364" t="s">
        <v>284</v>
      </c>
      <c r="C364" t="str">
        <f>"2019-14200"</f>
        <v>2019-14200</v>
      </c>
      <c r="D364" t="s">
        <v>1495</v>
      </c>
      <c r="E364" t="s">
        <v>1496</v>
      </c>
      <c r="F364" t="s">
        <v>817</v>
      </c>
      <c r="G364" t="s">
        <v>1497</v>
      </c>
      <c r="H364" s="1">
        <v>691.81</v>
      </c>
      <c r="I364" s="2">
        <v>43984.333333333336</v>
      </c>
      <c r="J364" s="2">
        <v>43984.833333333336</v>
      </c>
      <c r="K364" t="s">
        <v>1498</v>
      </c>
    </row>
    <row r="365" spans="1:11" x14ac:dyDescent="0.25">
      <c r="A365" t="s">
        <v>11</v>
      </c>
      <c r="B365" t="s">
        <v>284</v>
      </c>
      <c r="C365" t="str">
        <f>"2019-41864"</f>
        <v>2019-41864</v>
      </c>
      <c r="D365" t="s">
        <v>1499</v>
      </c>
      <c r="E365" t="s">
        <v>1500</v>
      </c>
      <c r="F365" t="s">
        <v>1501</v>
      </c>
      <c r="G365" t="s">
        <v>1502</v>
      </c>
      <c r="H365" s="1">
        <v>691.87</v>
      </c>
      <c r="I365" s="2">
        <v>43984.333333333336</v>
      </c>
      <c r="J365" s="2">
        <v>43984.833333333336</v>
      </c>
      <c r="K365" t="s">
        <v>1503</v>
      </c>
    </row>
    <row r="366" spans="1:11" x14ac:dyDescent="0.25">
      <c r="A366" t="s">
        <v>11</v>
      </c>
      <c r="B366" t="s">
        <v>284</v>
      </c>
      <c r="C366" t="str">
        <f>"2019-81539"</f>
        <v>2019-81539</v>
      </c>
      <c r="D366" t="s">
        <v>78</v>
      </c>
      <c r="E366" t="s">
        <v>79</v>
      </c>
      <c r="F366" t="s">
        <v>80</v>
      </c>
      <c r="G366" t="s">
        <v>81</v>
      </c>
      <c r="H366" s="1">
        <v>692.05</v>
      </c>
      <c r="I366" s="2">
        <v>43984.333333333336</v>
      </c>
      <c r="J366" s="2">
        <v>43984.833333333336</v>
      </c>
      <c r="K366" t="s">
        <v>1504</v>
      </c>
    </row>
    <row r="367" spans="1:11" x14ac:dyDescent="0.25">
      <c r="A367" t="s">
        <v>11</v>
      </c>
      <c r="B367" t="s">
        <v>12</v>
      </c>
      <c r="C367" t="str">
        <f>"0501689600"</f>
        <v>0501689600</v>
      </c>
      <c r="D367" t="s">
        <v>1505</v>
      </c>
      <c r="E367" t="s">
        <v>1506</v>
      </c>
      <c r="F367" t="s">
        <v>1507</v>
      </c>
      <c r="G367" t="s">
        <v>1508</v>
      </c>
      <c r="H367" s="1">
        <v>695.37</v>
      </c>
      <c r="I367" s="2">
        <v>43984.333333333336</v>
      </c>
      <c r="J367" s="2">
        <v>43984.833333333336</v>
      </c>
      <c r="K367" t="s">
        <v>1509</v>
      </c>
    </row>
    <row r="368" spans="1:11" x14ac:dyDescent="0.25">
      <c r="A368" t="s">
        <v>11</v>
      </c>
      <c r="B368" t="s">
        <v>284</v>
      </c>
      <c r="C368" t="str">
        <f>"2019-38352"</f>
        <v>2019-38352</v>
      </c>
      <c r="D368" t="s">
        <v>1510</v>
      </c>
      <c r="E368" t="s">
        <v>89</v>
      </c>
      <c r="F368" t="s">
        <v>90</v>
      </c>
      <c r="G368" t="s">
        <v>91</v>
      </c>
      <c r="H368" s="1">
        <v>696.83</v>
      </c>
      <c r="I368" s="2">
        <v>43984.333333333336</v>
      </c>
      <c r="J368" s="2">
        <v>43984.833333333336</v>
      </c>
      <c r="K368" t="s">
        <v>1511</v>
      </c>
    </row>
    <row r="369" spans="1:11" x14ac:dyDescent="0.25">
      <c r="A369" t="s">
        <v>11</v>
      </c>
      <c r="B369" t="s">
        <v>284</v>
      </c>
      <c r="C369" t="str">
        <f>"2019-52103"</f>
        <v>2019-52103</v>
      </c>
      <c r="D369" t="s">
        <v>945</v>
      </c>
      <c r="E369" t="s">
        <v>946</v>
      </c>
      <c r="F369" t="s">
        <v>320</v>
      </c>
      <c r="G369" t="s">
        <v>321</v>
      </c>
      <c r="H369" s="1">
        <v>697.28</v>
      </c>
      <c r="I369" s="2">
        <v>43984.333333333336</v>
      </c>
      <c r="J369" s="2">
        <v>43984.833333333336</v>
      </c>
      <c r="K369" t="s">
        <v>1512</v>
      </c>
    </row>
    <row r="370" spans="1:11" x14ac:dyDescent="0.25">
      <c r="A370" t="s">
        <v>11</v>
      </c>
      <c r="B370" t="s">
        <v>284</v>
      </c>
      <c r="C370" t="str">
        <f>"2019-57748"</f>
        <v>2019-57748</v>
      </c>
      <c r="D370" t="s">
        <v>1513</v>
      </c>
      <c r="E370" t="s">
        <v>94</v>
      </c>
      <c r="F370" t="s">
        <v>95</v>
      </c>
      <c r="G370" t="s">
        <v>1514</v>
      </c>
      <c r="H370" s="1">
        <v>698.83</v>
      </c>
      <c r="I370" s="2">
        <v>43984.333333333336</v>
      </c>
      <c r="J370" s="2">
        <v>43984.833333333336</v>
      </c>
      <c r="K370" t="s">
        <v>1515</v>
      </c>
    </row>
    <row r="371" spans="1:11" x14ac:dyDescent="0.25">
      <c r="A371" t="s">
        <v>11</v>
      </c>
      <c r="B371" t="s">
        <v>284</v>
      </c>
      <c r="C371" t="str">
        <f>"2019-49798"</f>
        <v>2019-49798</v>
      </c>
      <c r="D371" t="s">
        <v>1516</v>
      </c>
      <c r="E371" t="s">
        <v>1517</v>
      </c>
      <c r="F371" t="s">
        <v>1229</v>
      </c>
      <c r="G371" t="s">
        <v>1518</v>
      </c>
      <c r="H371" s="1">
        <v>700.83</v>
      </c>
      <c r="I371" s="2">
        <v>43984.333333333336</v>
      </c>
      <c r="J371" s="2">
        <v>43984.833333333336</v>
      </c>
      <c r="K371" t="s">
        <v>1519</v>
      </c>
    </row>
    <row r="372" spans="1:11" x14ac:dyDescent="0.25">
      <c r="A372" t="s">
        <v>11</v>
      </c>
      <c r="B372" t="s">
        <v>284</v>
      </c>
      <c r="C372" t="str">
        <f>"2019-48191"</f>
        <v>2019-48191</v>
      </c>
      <c r="D372" t="s">
        <v>1520</v>
      </c>
      <c r="E372" t="s">
        <v>1521</v>
      </c>
      <c r="F372" t="s">
        <v>1469</v>
      </c>
      <c r="G372" t="s">
        <v>1470</v>
      </c>
      <c r="H372" s="1">
        <v>703.07</v>
      </c>
      <c r="I372" s="2">
        <v>43984.333333333336</v>
      </c>
      <c r="J372" s="2">
        <v>43984.833333333336</v>
      </c>
      <c r="K372" t="s">
        <v>1522</v>
      </c>
    </row>
    <row r="373" spans="1:11" x14ac:dyDescent="0.25">
      <c r="A373" t="s">
        <v>11</v>
      </c>
      <c r="B373" t="s">
        <v>12</v>
      </c>
      <c r="C373" t="str">
        <f>"0503448301B"</f>
        <v>0503448301B</v>
      </c>
      <c r="D373" t="s">
        <v>1523</v>
      </c>
      <c r="E373" t="s">
        <v>1524</v>
      </c>
      <c r="F373" t="s">
        <v>1525</v>
      </c>
      <c r="G373" t="s">
        <v>1526</v>
      </c>
      <c r="H373" s="1">
        <v>706.27</v>
      </c>
      <c r="I373" s="2">
        <v>43984.333333333336</v>
      </c>
      <c r="J373" s="2">
        <v>43984.833333333336</v>
      </c>
      <c r="K373" t="s">
        <v>1527</v>
      </c>
    </row>
    <row r="374" spans="1:11" x14ac:dyDescent="0.25">
      <c r="A374" t="s">
        <v>11</v>
      </c>
      <c r="B374" t="s">
        <v>284</v>
      </c>
      <c r="C374" t="str">
        <f>"2019-25624"</f>
        <v>2019-25624</v>
      </c>
      <c r="D374" t="s">
        <v>1528</v>
      </c>
      <c r="E374" t="s">
        <v>1529</v>
      </c>
      <c r="F374" t="s">
        <v>1530</v>
      </c>
      <c r="G374" t="s">
        <v>1531</v>
      </c>
      <c r="H374" s="1">
        <v>706.64</v>
      </c>
      <c r="I374" s="2">
        <v>43984.333333333336</v>
      </c>
      <c r="J374" s="2">
        <v>43984.833333333336</v>
      </c>
      <c r="K374" t="s">
        <v>1532</v>
      </c>
    </row>
    <row r="375" spans="1:11" x14ac:dyDescent="0.25">
      <c r="A375" t="s">
        <v>11</v>
      </c>
      <c r="B375" t="s">
        <v>284</v>
      </c>
      <c r="C375" t="str">
        <f>"2019-27412"</f>
        <v>2019-27412</v>
      </c>
      <c r="D375" t="s">
        <v>1533</v>
      </c>
      <c r="E375" t="s">
        <v>1529</v>
      </c>
      <c r="F375" t="s">
        <v>1534</v>
      </c>
      <c r="G375" t="s">
        <v>1531</v>
      </c>
      <c r="H375" s="1">
        <v>706.64</v>
      </c>
      <c r="I375" s="2">
        <v>43984.333333333336</v>
      </c>
      <c r="J375" s="2">
        <v>43984.833333333336</v>
      </c>
      <c r="K375" t="s">
        <v>1535</v>
      </c>
    </row>
    <row r="376" spans="1:11" x14ac:dyDescent="0.25">
      <c r="A376" t="s">
        <v>11</v>
      </c>
      <c r="B376" t="s">
        <v>284</v>
      </c>
      <c r="C376" t="str">
        <f>"2019-40068"</f>
        <v>2019-40068</v>
      </c>
      <c r="D376" t="s">
        <v>1536</v>
      </c>
      <c r="E376" t="s">
        <v>1537</v>
      </c>
      <c r="F376" t="s">
        <v>1538</v>
      </c>
      <c r="G376" t="s">
        <v>1539</v>
      </c>
      <c r="H376" s="1">
        <v>715.17</v>
      </c>
      <c r="I376" s="2">
        <v>43984.333333333336</v>
      </c>
      <c r="J376" s="2">
        <v>43984.833333333336</v>
      </c>
      <c r="K376" t="s">
        <v>1540</v>
      </c>
    </row>
    <row r="377" spans="1:11" x14ac:dyDescent="0.25">
      <c r="A377" t="s">
        <v>11</v>
      </c>
      <c r="B377" t="s">
        <v>12</v>
      </c>
      <c r="C377" t="str">
        <f>"0501071500"</f>
        <v>0501071500</v>
      </c>
      <c r="D377" t="s">
        <v>1541</v>
      </c>
      <c r="E377" t="s">
        <v>419</v>
      </c>
      <c r="F377" t="s">
        <v>1542</v>
      </c>
      <c r="G377" t="s">
        <v>421</v>
      </c>
      <c r="H377" s="1">
        <v>715.41</v>
      </c>
      <c r="I377" s="2">
        <v>43984.333333333336</v>
      </c>
      <c r="J377" s="2">
        <v>43984.833333333336</v>
      </c>
      <c r="K377" t="s">
        <v>1543</v>
      </c>
    </row>
    <row r="378" spans="1:11" x14ac:dyDescent="0.25">
      <c r="A378" t="s">
        <v>11</v>
      </c>
      <c r="B378" t="s">
        <v>284</v>
      </c>
      <c r="C378" t="str">
        <f>"2019-67506"</f>
        <v>2019-67506</v>
      </c>
      <c r="D378" t="s">
        <v>1544</v>
      </c>
      <c r="E378" t="s">
        <v>99</v>
      </c>
      <c r="F378" t="s">
        <v>100</v>
      </c>
      <c r="G378" t="s">
        <v>101</v>
      </c>
      <c r="H378" s="1">
        <v>715.99</v>
      </c>
      <c r="I378" s="2">
        <v>43984.333333333336</v>
      </c>
      <c r="J378" s="2">
        <v>43984.833333333336</v>
      </c>
      <c r="K378" t="s">
        <v>1545</v>
      </c>
    </row>
    <row r="379" spans="1:11" x14ac:dyDescent="0.25">
      <c r="A379" t="s">
        <v>11</v>
      </c>
      <c r="B379" t="s">
        <v>284</v>
      </c>
      <c r="C379" t="str">
        <f>"2019-43195"</f>
        <v>2019-43195</v>
      </c>
      <c r="D379" t="s">
        <v>103</v>
      </c>
      <c r="E379" t="s">
        <v>104</v>
      </c>
      <c r="F379" t="s">
        <v>100</v>
      </c>
      <c r="G379" t="s">
        <v>101</v>
      </c>
      <c r="H379" s="1">
        <v>716.43</v>
      </c>
      <c r="I379" s="2">
        <v>43984.333333333336</v>
      </c>
      <c r="J379" s="2">
        <v>43984.833333333336</v>
      </c>
      <c r="K379" t="s">
        <v>1546</v>
      </c>
    </row>
    <row r="380" spans="1:11" x14ac:dyDescent="0.25">
      <c r="A380" t="s">
        <v>11</v>
      </c>
      <c r="B380" t="s">
        <v>12</v>
      </c>
      <c r="C380" t="str">
        <f>"0502438500"</f>
        <v>0502438500</v>
      </c>
      <c r="D380" t="s">
        <v>1547</v>
      </c>
      <c r="E380" t="s">
        <v>1548</v>
      </c>
      <c r="F380" t="s">
        <v>1549</v>
      </c>
      <c r="G380" t="s">
        <v>1550</v>
      </c>
      <c r="H380" s="1">
        <v>719.61</v>
      </c>
      <c r="I380" s="2">
        <v>43984.333333333336</v>
      </c>
      <c r="J380" s="2">
        <v>43984.833333333336</v>
      </c>
      <c r="K380" t="s">
        <v>1551</v>
      </c>
    </row>
    <row r="381" spans="1:11" x14ac:dyDescent="0.25">
      <c r="A381" t="s">
        <v>11</v>
      </c>
      <c r="B381" t="s">
        <v>284</v>
      </c>
      <c r="C381" t="str">
        <f>"2019-60275"</f>
        <v>2019-60275</v>
      </c>
      <c r="D381" t="s">
        <v>106</v>
      </c>
      <c r="E381" t="s">
        <v>107</v>
      </c>
      <c r="F381" t="s">
        <v>100</v>
      </c>
      <c r="G381" t="s">
        <v>101</v>
      </c>
      <c r="H381" s="1">
        <v>719.69</v>
      </c>
      <c r="I381" s="2">
        <v>43984.333333333336</v>
      </c>
      <c r="J381" s="2">
        <v>43984.833333333336</v>
      </c>
      <c r="K381" t="s">
        <v>1552</v>
      </c>
    </row>
    <row r="382" spans="1:11" x14ac:dyDescent="0.25">
      <c r="A382" t="s">
        <v>11</v>
      </c>
      <c r="B382" t="s">
        <v>284</v>
      </c>
      <c r="C382" t="str">
        <f>"2019-27949"</f>
        <v>2019-27949</v>
      </c>
      <c r="D382" t="s">
        <v>1553</v>
      </c>
      <c r="E382" t="s">
        <v>992</v>
      </c>
      <c r="F382" t="s">
        <v>993</v>
      </c>
      <c r="G382" t="s">
        <v>994</v>
      </c>
      <c r="H382" s="1">
        <v>720.35</v>
      </c>
      <c r="I382" s="2">
        <v>43984.333333333336</v>
      </c>
      <c r="J382" s="2">
        <v>43984.833333333336</v>
      </c>
      <c r="K382" t="s">
        <v>1554</v>
      </c>
    </row>
    <row r="383" spans="1:11" x14ac:dyDescent="0.25">
      <c r="A383" t="s">
        <v>11</v>
      </c>
      <c r="B383" t="s">
        <v>12</v>
      </c>
      <c r="C383" t="str">
        <f>"0500590000"</f>
        <v>0500590000</v>
      </c>
      <c r="D383" t="s">
        <v>1555</v>
      </c>
      <c r="E383" t="s">
        <v>1233</v>
      </c>
      <c r="F383" t="s">
        <v>1234</v>
      </c>
      <c r="G383" t="s">
        <v>1235</v>
      </c>
      <c r="H383" s="1">
        <v>725.24</v>
      </c>
      <c r="I383" s="2">
        <v>43984.333333333336</v>
      </c>
      <c r="J383" s="2">
        <v>43984.833333333336</v>
      </c>
      <c r="K383" t="s">
        <v>1556</v>
      </c>
    </row>
    <row r="384" spans="1:11" x14ac:dyDescent="0.25">
      <c r="A384" t="s">
        <v>11</v>
      </c>
      <c r="B384" t="s">
        <v>12</v>
      </c>
      <c r="C384" t="str">
        <f>"0503460000"</f>
        <v>0503460000</v>
      </c>
      <c r="D384" t="s">
        <v>412</v>
      </c>
      <c r="E384" t="s">
        <v>645</v>
      </c>
      <c r="F384" t="s">
        <v>25</v>
      </c>
      <c r="G384" t="s">
        <v>26</v>
      </c>
      <c r="H384" s="1">
        <v>728.69</v>
      </c>
      <c r="I384" s="2">
        <v>43984.333333333336</v>
      </c>
      <c r="J384" s="2">
        <v>43984.833333333336</v>
      </c>
      <c r="K384" t="s">
        <v>1557</v>
      </c>
    </row>
    <row r="385" spans="1:11" x14ac:dyDescent="0.25">
      <c r="A385" t="s">
        <v>11</v>
      </c>
      <c r="B385" t="s">
        <v>284</v>
      </c>
      <c r="C385" t="str">
        <f>"2019-14155"</f>
        <v>2019-14155</v>
      </c>
      <c r="D385" t="s">
        <v>1558</v>
      </c>
      <c r="E385" t="s">
        <v>1559</v>
      </c>
      <c r="F385" t="s">
        <v>562</v>
      </c>
      <c r="G385" t="s">
        <v>1560</v>
      </c>
      <c r="H385" s="1">
        <v>729.82</v>
      </c>
      <c r="I385" s="2">
        <v>43984.333333333336</v>
      </c>
      <c r="J385" s="2">
        <v>43984.833333333336</v>
      </c>
      <c r="K385" t="s">
        <v>1561</v>
      </c>
    </row>
    <row r="386" spans="1:11" x14ac:dyDescent="0.25">
      <c r="A386" t="s">
        <v>11</v>
      </c>
      <c r="B386" t="s">
        <v>284</v>
      </c>
      <c r="C386" t="str">
        <f>"2019-51817"</f>
        <v>2019-51817</v>
      </c>
      <c r="D386" t="s">
        <v>1562</v>
      </c>
      <c r="E386" t="s">
        <v>1563</v>
      </c>
      <c r="F386" t="s">
        <v>1564</v>
      </c>
      <c r="G386" t="s">
        <v>321</v>
      </c>
      <c r="H386" s="1">
        <v>737.95</v>
      </c>
      <c r="I386" s="2">
        <v>43984.333333333336</v>
      </c>
      <c r="J386" s="2">
        <v>43984.833333333336</v>
      </c>
      <c r="K386" t="s">
        <v>1565</v>
      </c>
    </row>
    <row r="387" spans="1:11" x14ac:dyDescent="0.25">
      <c r="A387" t="s">
        <v>11</v>
      </c>
      <c r="B387" t="s">
        <v>284</v>
      </c>
      <c r="C387" t="str">
        <f>"2019-46176"</f>
        <v>2019-46176</v>
      </c>
      <c r="D387" t="s">
        <v>1566</v>
      </c>
      <c r="E387" t="s">
        <v>110</v>
      </c>
      <c r="F387" t="s">
        <v>111</v>
      </c>
      <c r="G387" t="s">
        <v>1111</v>
      </c>
      <c r="H387" s="1">
        <v>738.62</v>
      </c>
      <c r="I387" s="2">
        <v>43984.333333333336</v>
      </c>
      <c r="J387" s="2">
        <v>43984.833333333336</v>
      </c>
      <c r="K387" t="s">
        <v>1567</v>
      </c>
    </row>
    <row r="388" spans="1:11" x14ac:dyDescent="0.25">
      <c r="A388" t="s">
        <v>11</v>
      </c>
      <c r="B388" t="s">
        <v>12</v>
      </c>
      <c r="C388" t="str">
        <f>"0501149056"</f>
        <v>0501149056</v>
      </c>
      <c r="D388" t="s">
        <v>1568</v>
      </c>
      <c r="E388" t="s">
        <v>1569</v>
      </c>
      <c r="F388" t="s">
        <v>320</v>
      </c>
      <c r="G388" t="s">
        <v>321</v>
      </c>
      <c r="H388" s="1">
        <v>739.79</v>
      </c>
      <c r="I388" s="2">
        <v>43984.333333333336</v>
      </c>
      <c r="J388" s="2">
        <v>43984.833333333336</v>
      </c>
      <c r="K388" t="s">
        <v>1570</v>
      </c>
    </row>
    <row r="389" spans="1:11" x14ac:dyDescent="0.25">
      <c r="A389" t="s">
        <v>11</v>
      </c>
      <c r="B389" t="s">
        <v>284</v>
      </c>
      <c r="C389" t="str">
        <f>"2019-49104"</f>
        <v>2019-49104</v>
      </c>
      <c r="D389" t="s">
        <v>1018</v>
      </c>
      <c r="E389" t="s">
        <v>1019</v>
      </c>
      <c r="F389" t="s">
        <v>320</v>
      </c>
      <c r="G389" t="s">
        <v>321</v>
      </c>
      <c r="H389" s="1">
        <v>743.57</v>
      </c>
      <c r="I389" s="2">
        <v>43984.333333333336</v>
      </c>
      <c r="J389" s="2">
        <v>43984.833333333336</v>
      </c>
      <c r="K389" t="s">
        <v>1571</v>
      </c>
    </row>
    <row r="390" spans="1:11" x14ac:dyDescent="0.25">
      <c r="A390" t="s">
        <v>11</v>
      </c>
      <c r="B390" t="s">
        <v>12</v>
      </c>
      <c r="C390" t="str">
        <f>"0500956000"</f>
        <v>0500956000</v>
      </c>
      <c r="D390" t="s">
        <v>1572</v>
      </c>
      <c r="E390" t="s">
        <v>1573</v>
      </c>
      <c r="F390" t="s">
        <v>1574</v>
      </c>
      <c r="G390" t="s">
        <v>1575</v>
      </c>
      <c r="H390" s="1">
        <v>757.49</v>
      </c>
      <c r="I390" s="2">
        <v>43984.333333333336</v>
      </c>
      <c r="J390" s="2">
        <v>43984.833333333336</v>
      </c>
      <c r="K390" t="s">
        <v>1576</v>
      </c>
    </row>
    <row r="391" spans="1:11" x14ac:dyDescent="0.25">
      <c r="A391" t="s">
        <v>11</v>
      </c>
      <c r="B391" t="s">
        <v>284</v>
      </c>
      <c r="C391" t="str">
        <f>"2019-15196"</f>
        <v>2019-15196</v>
      </c>
      <c r="D391" t="s">
        <v>1577</v>
      </c>
      <c r="E391" t="s">
        <v>1578</v>
      </c>
      <c r="F391" t="s">
        <v>100</v>
      </c>
      <c r="G391" t="s">
        <v>101</v>
      </c>
      <c r="H391" s="1">
        <v>758.12</v>
      </c>
      <c r="I391" s="2">
        <v>43984.333333333336</v>
      </c>
      <c r="J391" s="2">
        <v>43984.833333333336</v>
      </c>
      <c r="K391" t="s">
        <v>1579</v>
      </c>
    </row>
    <row r="392" spans="1:11" x14ac:dyDescent="0.25">
      <c r="A392" t="s">
        <v>11</v>
      </c>
      <c r="B392" t="s">
        <v>284</v>
      </c>
      <c r="C392" t="str">
        <f>"2019-77096"</f>
        <v>2019-77096</v>
      </c>
      <c r="D392" t="s">
        <v>1580</v>
      </c>
      <c r="E392" t="s">
        <v>115</v>
      </c>
      <c r="F392" t="s">
        <v>116</v>
      </c>
      <c r="G392" t="s">
        <v>117</v>
      </c>
      <c r="H392" s="1">
        <v>758.64</v>
      </c>
      <c r="I392" s="2">
        <v>43984.333333333336</v>
      </c>
      <c r="J392" s="2">
        <v>43984.833333333336</v>
      </c>
      <c r="K392" t="s">
        <v>1581</v>
      </c>
    </row>
    <row r="393" spans="1:11" x14ac:dyDescent="0.25">
      <c r="A393" t="s">
        <v>11</v>
      </c>
      <c r="B393" t="s">
        <v>284</v>
      </c>
      <c r="C393" t="str">
        <f>"2019-62233"</f>
        <v>2019-62233</v>
      </c>
      <c r="D393" t="s">
        <v>1582</v>
      </c>
      <c r="E393" t="s">
        <v>1583</v>
      </c>
      <c r="F393" t="s">
        <v>1584</v>
      </c>
      <c r="G393" t="s">
        <v>1585</v>
      </c>
      <c r="H393" s="1">
        <v>758.79</v>
      </c>
      <c r="I393" s="2">
        <v>43984.333333333336</v>
      </c>
      <c r="J393" s="2">
        <v>43984.833333333336</v>
      </c>
      <c r="K393" t="s">
        <v>1586</v>
      </c>
    </row>
    <row r="394" spans="1:11" x14ac:dyDescent="0.25">
      <c r="A394" t="s">
        <v>11</v>
      </c>
      <c r="B394" t="s">
        <v>284</v>
      </c>
      <c r="C394" t="str">
        <f>"2019-20445"</f>
        <v>2019-20445</v>
      </c>
      <c r="D394" t="s">
        <v>1035</v>
      </c>
      <c r="E394" t="s">
        <v>1036</v>
      </c>
      <c r="F394" t="s">
        <v>80</v>
      </c>
      <c r="G394" t="s">
        <v>81</v>
      </c>
      <c r="H394" s="1">
        <v>760.19</v>
      </c>
      <c r="I394" s="2">
        <v>43984.333333333336</v>
      </c>
      <c r="J394" s="2">
        <v>43984.833333333336</v>
      </c>
      <c r="K394" t="s">
        <v>1587</v>
      </c>
    </row>
    <row r="395" spans="1:11" x14ac:dyDescent="0.25">
      <c r="A395" t="s">
        <v>11</v>
      </c>
      <c r="B395" t="s">
        <v>284</v>
      </c>
      <c r="C395" t="str">
        <f>"2019-38241"</f>
        <v>2019-38241</v>
      </c>
      <c r="D395" t="s">
        <v>1588</v>
      </c>
      <c r="E395" t="s">
        <v>120</v>
      </c>
      <c r="F395" t="s">
        <v>100</v>
      </c>
      <c r="G395" t="s">
        <v>101</v>
      </c>
      <c r="H395" s="1">
        <v>760.41</v>
      </c>
      <c r="I395" s="2">
        <v>43984.333333333336</v>
      </c>
      <c r="J395" s="2">
        <v>43984.833333333336</v>
      </c>
      <c r="K395" t="s">
        <v>1589</v>
      </c>
    </row>
    <row r="396" spans="1:11" x14ac:dyDescent="0.25">
      <c r="A396" t="s">
        <v>11</v>
      </c>
      <c r="B396" t="s">
        <v>284</v>
      </c>
      <c r="C396" t="str">
        <f>"2019-22300"</f>
        <v>2019-22300</v>
      </c>
      <c r="D396" t="s">
        <v>1590</v>
      </c>
      <c r="E396" t="s">
        <v>1591</v>
      </c>
      <c r="F396" t="s">
        <v>1592</v>
      </c>
      <c r="G396" t="s">
        <v>1593</v>
      </c>
      <c r="H396" s="1">
        <v>770.29</v>
      </c>
      <c r="I396" s="2">
        <v>43984.333333333336</v>
      </c>
      <c r="J396" s="2">
        <v>43984.833333333336</v>
      </c>
      <c r="K396" t="s">
        <v>1594</v>
      </c>
    </row>
    <row r="397" spans="1:11" x14ac:dyDescent="0.25">
      <c r="A397" t="s">
        <v>11</v>
      </c>
      <c r="B397" t="s">
        <v>284</v>
      </c>
      <c r="C397" t="str">
        <f>"2019-15525"</f>
        <v>2019-15525</v>
      </c>
      <c r="D397" t="s">
        <v>1595</v>
      </c>
      <c r="E397" t="s">
        <v>1596</v>
      </c>
      <c r="F397" t="s">
        <v>1597</v>
      </c>
      <c r="G397" t="s">
        <v>377</v>
      </c>
      <c r="H397" s="1">
        <v>773.86</v>
      </c>
      <c r="I397" s="2">
        <v>43984.333333333336</v>
      </c>
      <c r="J397" s="2">
        <v>43984.833333333336</v>
      </c>
      <c r="K397" t="s">
        <v>1598</v>
      </c>
    </row>
    <row r="398" spans="1:11" x14ac:dyDescent="0.25">
      <c r="A398" t="s">
        <v>11</v>
      </c>
      <c r="B398" t="s">
        <v>284</v>
      </c>
      <c r="C398" t="str">
        <f>"2019-84913"</f>
        <v>2019-84913</v>
      </c>
      <c r="D398" t="s">
        <v>1061</v>
      </c>
      <c r="E398" t="s">
        <v>1062</v>
      </c>
      <c r="F398" t="s">
        <v>1063</v>
      </c>
      <c r="G398" t="s">
        <v>1064</v>
      </c>
      <c r="H398" s="1">
        <v>775.86</v>
      </c>
      <c r="I398" s="2">
        <v>43984.333333333336</v>
      </c>
      <c r="J398" s="2">
        <v>43984.833333333336</v>
      </c>
      <c r="K398" t="s">
        <v>1599</v>
      </c>
    </row>
    <row r="399" spans="1:11" x14ac:dyDescent="0.25">
      <c r="A399" t="s">
        <v>11</v>
      </c>
      <c r="B399" t="s">
        <v>12</v>
      </c>
      <c r="C399" t="str">
        <f>"0502633500"</f>
        <v>0502633500</v>
      </c>
      <c r="D399" t="s">
        <v>656</v>
      </c>
      <c r="E399" t="s">
        <v>657</v>
      </c>
      <c r="F399" t="s">
        <v>658</v>
      </c>
      <c r="G399" t="s">
        <v>1600</v>
      </c>
      <c r="H399" s="1">
        <v>777.63</v>
      </c>
      <c r="I399" s="2">
        <v>43984.333333333336</v>
      </c>
      <c r="J399" s="2">
        <v>43984.833333333336</v>
      </c>
      <c r="K399" t="s">
        <v>1601</v>
      </c>
    </row>
    <row r="400" spans="1:11" x14ac:dyDescent="0.25">
      <c r="A400" t="s">
        <v>11</v>
      </c>
      <c r="B400" t="s">
        <v>284</v>
      </c>
      <c r="C400" t="str">
        <f>"2019-69647"</f>
        <v>2019-69647</v>
      </c>
      <c r="D400" t="s">
        <v>1602</v>
      </c>
      <c r="E400" t="s">
        <v>1603</v>
      </c>
      <c r="F400" t="s">
        <v>1604</v>
      </c>
      <c r="G400" t="s">
        <v>1605</v>
      </c>
      <c r="H400" s="1">
        <v>777.92</v>
      </c>
      <c r="I400" s="2">
        <v>43984.333333333336</v>
      </c>
      <c r="J400" s="2">
        <v>43984.833333333336</v>
      </c>
      <c r="K400" t="s">
        <v>1606</v>
      </c>
    </row>
    <row r="401" spans="1:11" x14ac:dyDescent="0.25">
      <c r="A401" t="s">
        <v>11</v>
      </c>
      <c r="B401" t="s">
        <v>284</v>
      </c>
      <c r="C401" t="str">
        <f>"2019-64710"</f>
        <v>2019-64710</v>
      </c>
      <c r="D401" t="s">
        <v>1607</v>
      </c>
      <c r="E401" t="s">
        <v>1608</v>
      </c>
      <c r="F401" t="s">
        <v>100</v>
      </c>
      <c r="G401" t="s">
        <v>101</v>
      </c>
      <c r="H401" s="1">
        <v>778.48</v>
      </c>
      <c r="I401" s="2">
        <v>43984.333333333336</v>
      </c>
      <c r="J401" s="2">
        <v>43984.833333333336</v>
      </c>
      <c r="K401" t="s">
        <v>1609</v>
      </c>
    </row>
    <row r="402" spans="1:11" x14ac:dyDescent="0.25">
      <c r="A402" t="s">
        <v>11</v>
      </c>
      <c r="B402" t="s">
        <v>284</v>
      </c>
      <c r="C402" t="str">
        <f>"2019-36576"</f>
        <v>2019-36576</v>
      </c>
      <c r="D402" t="s">
        <v>1610</v>
      </c>
      <c r="E402" t="s">
        <v>1611</v>
      </c>
      <c r="F402" t="s">
        <v>1612</v>
      </c>
      <c r="G402" t="s">
        <v>1613</v>
      </c>
      <c r="H402" s="1">
        <v>778.67</v>
      </c>
      <c r="I402" s="2">
        <v>43984.333333333336</v>
      </c>
      <c r="J402" s="2">
        <v>43984.833333333336</v>
      </c>
      <c r="K402" t="s">
        <v>1614</v>
      </c>
    </row>
    <row r="403" spans="1:11" x14ac:dyDescent="0.25">
      <c r="A403" t="s">
        <v>11</v>
      </c>
      <c r="B403" t="s">
        <v>284</v>
      </c>
      <c r="C403" t="str">
        <f>"2019-45748"</f>
        <v>2019-45748</v>
      </c>
      <c r="D403" t="s">
        <v>1615</v>
      </c>
      <c r="E403" t="s">
        <v>128</v>
      </c>
      <c r="F403" t="s">
        <v>129</v>
      </c>
      <c r="G403" t="s">
        <v>130</v>
      </c>
      <c r="H403" s="1">
        <v>779.55</v>
      </c>
      <c r="I403" s="2">
        <v>43984.333333333336</v>
      </c>
      <c r="J403" s="2">
        <v>43984.833333333336</v>
      </c>
      <c r="K403" t="s">
        <v>1616</v>
      </c>
    </row>
    <row r="404" spans="1:11" x14ac:dyDescent="0.25">
      <c r="A404" t="s">
        <v>11</v>
      </c>
      <c r="B404" t="s">
        <v>12</v>
      </c>
      <c r="C404" t="str">
        <f>"0502198000"</f>
        <v>0502198000</v>
      </c>
      <c r="D404" t="s">
        <v>1617</v>
      </c>
      <c r="E404" t="s">
        <v>1618</v>
      </c>
      <c r="F404" t="s">
        <v>1619</v>
      </c>
      <c r="G404" t="s">
        <v>1620</v>
      </c>
      <c r="H404" s="1">
        <v>784.02</v>
      </c>
      <c r="I404" s="2">
        <v>43984.333333333336</v>
      </c>
      <c r="J404" s="2">
        <v>43984.833333333336</v>
      </c>
      <c r="K404" t="s">
        <v>1621</v>
      </c>
    </row>
    <row r="405" spans="1:11" x14ac:dyDescent="0.25">
      <c r="A405" t="s">
        <v>11</v>
      </c>
      <c r="B405" t="s">
        <v>284</v>
      </c>
      <c r="C405" t="str">
        <f>"2019-61837"</f>
        <v>2019-61837</v>
      </c>
      <c r="D405" t="s">
        <v>1622</v>
      </c>
      <c r="E405" t="s">
        <v>1623</v>
      </c>
      <c r="F405" t="s">
        <v>1624</v>
      </c>
      <c r="G405" t="s">
        <v>1625</v>
      </c>
      <c r="H405" s="1">
        <v>784.85</v>
      </c>
      <c r="I405" s="2">
        <v>43984.333333333336</v>
      </c>
      <c r="J405" s="2">
        <v>43984.833333333336</v>
      </c>
      <c r="K405" t="s">
        <v>1626</v>
      </c>
    </row>
    <row r="406" spans="1:11" x14ac:dyDescent="0.25">
      <c r="A406" t="s">
        <v>11</v>
      </c>
      <c r="B406" t="s">
        <v>284</v>
      </c>
      <c r="C406" t="str">
        <f>"2019-44806"</f>
        <v>2019-44806</v>
      </c>
      <c r="D406" t="s">
        <v>1627</v>
      </c>
      <c r="E406" t="s">
        <v>1628</v>
      </c>
      <c r="F406" t="s">
        <v>1629</v>
      </c>
      <c r="G406" t="s">
        <v>1630</v>
      </c>
      <c r="H406" s="1">
        <v>787.11</v>
      </c>
      <c r="I406" s="2">
        <v>43984.333333333336</v>
      </c>
      <c r="J406" s="2">
        <v>43984.833333333336</v>
      </c>
      <c r="K406" t="s">
        <v>1631</v>
      </c>
    </row>
    <row r="407" spans="1:11" x14ac:dyDescent="0.25">
      <c r="A407" t="s">
        <v>11</v>
      </c>
      <c r="B407" t="s">
        <v>284</v>
      </c>
      <c r="C407" t="str">
        <f>"2019-43965"</f>
        <v>2019-43965</v>
      </c>
      <c r="D407" t="s">
        <v>132</v>
      </c>
      <c r="E407" t="s">
        <v>133</v>
      </c>
      <c r="F407" t="s">
        <v>134</v>
      </c>
      <c r="G407" t="s">
        <v>135</v>
      </c>
      <c r="H407" s="1">
        <v>796.93</v>
      </c>
      <c r="I407" s="2">
        <v>43984.333333333336</v>
      </c>
      <c r="J407" s="2">
        <v>43984.833333333336</v>
      </c>
      <c r="K407" t="s">
        <v>1632</v>
      </c>
    </row>
    <row r="408" spans="1:11" x14ac:dyDescent="0.25">
      <c r="A408" t="s">
        <v>11</v>
      </c>
      <c r="B408" t="s">
        <v>284</v>
      </c>
      <c r="C408" t="str">
        <f>"2019-10203"</f>
        <v>2019-10203</v>
      </c>
      <c r="D408" t="s">
        <v>1633</v>
      </c>
      <c r="E408" t="s">
        <v>1634</v>
      </c>
      <c r="F408" t="s">
        <v>1635</v>
      </c>
      <c r="G408" t="s">
        <v>1636</v>
      </c>
      <c r="H408" s="1">
        <v>798.45</v>
      </c>
      <c r="I408" s="2">
        <v>43984.333333333336</v>
      </c>
      <c r="J408" s="2">
        <v>43984.833333333336</v>
      </c>
      <c r="K408" t="s">
        <v>1637</v>
      </c>
    </row>
    <row r="409" spans="1:11" x14ac:dyDescent="0.25">
      <c r="A409" t="s">
        <v>11</v>
      </c>
      <c r="B409" t="s">
        <v>284</v>
      </c>
      <c r="C409" t="str">
        <f>"2019-38700"</f>
        <v>2019-38700</v>
      </c>
      <c r="D409" t="s">
        <v>1638</v>
      </c>
      <c r="E409" t="s">
        <v>1639</v>
      </c>
      <c r="F409" t="s">
        <v>1640</v>
      </c>
      <c r="G409" t="s">
        <v>1641</v>
      </c>
      <c r="H409" s="1">
        <v>802.99</v>
      </c>
      <c r="I409" s="2">
        <v>43984.333333333336</v>
      </c>
      <c r="J409" s="2">
        <v>43984.833333333336</v>
      </c>
      <c r="K409" t="s">
        <v>1642</v>
      </c>
    </row>
    <row r="410" spans="1:11" x14ac:dyDescent="0.25">
      <c r="A410" t="s">
        <v>11</v>
      </c>
      <c r="B410" t="s">
        <v>284</v>
      </c>
      <c r="C410" t="str">
        <f>"2019-64612"</f>
        <v>2019-64612</v>
      </c>
      <c r="D410" t="s">
        <v>1643</v>
      </c>
      <c r="E410" t="s">
        <v>1644</v>
      </c>
      <c r="F410" t="s">
        <v>1612</v>
      </c>
      <c r="G410" t="s">
        <v>1613</v>
      </c>
      <c r="H410" s="1">
        <v>806.17</v>
      </c>
      <c r="I410" s="2">
        <v>43984.333333333336</v>
      </c>
      <c r="J410" s="2">
        <v>43984.833333333336</v>
      </c>
      <c r="K410" t="s">
        <v>1645</v>
      </c>
    </row>
    <row r="411" spans="1:11" x14ac:dyDescent="0.25">
      <c r="A411" t="s">
        <v>11</v>
      </c>
      <c r="B411" t="s">
        <v>284</v>
      </c>
      <c r="C411" t="str">
        <f>"2019-50742"</f>
        <v>2019-50742</v>
      </c>
      <c r="D411" t="s">
        <v>1646</v>
      </c>
      <c r="E411" t="s">
        <v>1647</v>
      </c>
      <c r="F411" t="s">
        <v>1229</v>
      </c>
      <c r="G411" t="s">
        <v>1518</v>
      </c>
      <c r="H411" s="1">
        <v>807.28</v>
      </c>
      <c r="I411" s="2">
        <v>43984.333333333336</v>
      </c>
      <c r="J411" s="2">
        <v>43984.833333333336</v>
      </c>
      <c r="K411" t="s">
        <v>1648</v>
      </c>
    </row>
    <row r="412" spans="1:11" x14ac:dyDescent="0.25">
      <c r="A412" t="s">
        <v>11</v>
      </c>
      <c r="B412" t="s">
        <v>284</v>
      </c>
      <c r="C412" t="str">
        <f>"2019-11231"</f>
        <v>2019-11231</v>
      </c>
      <c r="D412" t="s">
        <v>1094</v>
      </c>
      <c r="E412" t="s">
        <v>1095</v>
      </c>
      <c r="F412" t="s">
        <v>1649</v>
      </c>
      <c r="G412" t="s">
        <v>1097</v>
      </c>
      <c r="H412" s="1">
        <v>808.97</v>
      </c>
      <c r="I412" s="2">
        <v>43984.333333333336</v>
      </c>
      <c r="J412" s="2">
        <v>43984.833333333336</v>
      </c>
      <c r="K412" t="s">
        <v>1650</v>
      </c>
    </row>
    <row r="413" spans="1:11" x14ac:dyDescent="0.25">
      <c r="A413" t="s">
        <v>11</v>
      </c>
      <c r="B413" t="s">
        <v>12</v>
      </c>
      <c r="C413" t="str">
        <f>"0503533503"</f>
        <v>0503533503</v>
      </c>
      <c r="D413" t="s">
        <v>1651</v>
      </c>
      <c r="E413" t="s">
        <v>1652</v>
      </c>
      <c r="F413" t="s">
        <v>1653</v>
      </c>
      <c r="G413" t="s">
        <v>1654</v>
      </c>
      <c r="H413" s="1">
        <v>813.55</v>
      </c>
      <c r="I413" s="2">
        <v>43984.333333333336</v>
      </c>
      <c r="J413" s="2">
        <v>43984.833333333336</v>
      </c>
      <c r="K413" t="s">
        <v>1655</v>
      </c>
    </row>
    <row r="414" spans="1:11" x14ac:dyDescent="0.25">
      <c r="A414" t="s">
        <v>11</v>
      </c>
      <c r="B414" t="s">
        <v>12</v>
      </c>
      <c r="C414" t="str">
        <f>"0504514501"</f>
        <v>0504514501</v>
      </c>
      <c r="D414" t="s">
        <v>1656</v>
      </c>
      <c r="E414" t="s">
        <v>1657</v>
      </c>
      <c r="F414" t="s">
        <v>1658</v>
      </c>
      <c r="G414" t="s">
        <v>1659</v>
      </c>
      <c r="H414" s="1">
        <v>822.14</v>
      </c>
      <c r="I414" s="2">
        <v>43984.333333333336</v>
      </c>
      <c r="J414" s="2">
        <v>43984.833333333336</v>
      </c>
      <c r="K414" t="s">
        <v>1660</v>
      </c>
    </row>
    <row r="415" spans="1:11" x14ac:dyDescent="0.25">
      <c r="A415" t="s">
        <v>11</v>
      </c>
      <c r="B415" t="s">
        <v>284</v>
      </c>
      <c r="C415" t="str">
        <f>"2019-32905"</f>
        <v>2019-32905</v>
      </c>
      <c r="D415" t="s">
        <v>1661</v>
      </c>
      <c r="E415" t="s">
        <v>1662</v>
      </c>
      <c r="F415" t="s">
        <v>1663</v>
      </c>
      <c r="G415" t="s">
        <v>1664</v>
      </c>
      <c r="H415" s="1">
        <v>826.2</v>
      </c>
      <c r="I415" s="2">
        <v>43984.333333333336</v>
      </c>
      <c r="J415" s="2">
        <v>43984.833333333336</v>
      </c>
      <c r="K415" t="s">
        <v>1665</v>
      </c>
    </row>
    <row r="416" spans="1:11" x14ac:dyDescent="0.25">
      <c r="A416" t="s">
        <v>11</v>
      </c>
      <c r="B416" t="s">
        <v>12</v>
      </c>
      <c r="C416" t="str">
        <f>"0500004500"</f>
        <v>0500004500</v>
      </c>
      <c r="D416" t="s">
        <v>1666</v>
      </c>
      <c r="E416" t="s">
        <v>1388</v>
      </c>
      <c r="F416" t="s">
        <v>678</v>
      </c>
      <c r="G416" t="s">
        <v>679</v>
      </c>
      <c r="H416" s="1">
        <v>826.73</v>
      </c>
      <c r="I416" s="2">
        <v>43984.333333333336</v>
      </c>
      <c r="J416" s="2">
        <v>43984.833333333336</v>
      </c>
      <c r="K416" t="s">
        <v>1667</v>
      </c>
    </row>
    <row r="417" spans="1:11" x14ac:dyDescent="0.25">
      <c r="A417" t="s">
        <v>11</v>
      </c>
      <c r="B417" t="s">
        <v>284</v>
      </c>
      <c r="C417" t="str">
        <f>"2019-42050"</f>
        <v>2019-42050</v>
      </c>
      <c r="D417" t="s">
        <v>147</v>
      </c>
      <c r="E417" t="s">
        <v>148</v>
      </c>
      <c r="F417" t="s">
        <v>80</v>
      </c>
      <c r="G417" t="s">
        <v>149</v>
      </c>
      <c r="H417" s="1">
        <v>836.66</v>
      </c>
      <c r="I417" s="2">
        <v>43984.333333333336</v>
      </c>
      <c r="J417" s="2">
        <v>43984.833333333336</v>
      </c>
      <c r="K417" t="s">
        <v>1668</v>
      </c>
    </row>
    <row r="418" spans="1:11" x14ac:dyDescent="0.25">
      <c r="A418" t="s">
        <v>11</v>
      </c>
      <c r="B418" t="s">
        <v>284</v>
      </c>
      <c r="C418" t="str">
        <f>"2019-61337"</f>
        <v>2019-61337</v>
      </c>
      <c r="D418" t="s">
        <v>151</v>
      </c>
      <c r="E418" t="s">
        <v>152</v>
      </c>
      <c r="F418" t="s">
        <v>153</v>
      </c>
      <c r="G418" t="s">
        <v>26</v>
      </c>
      <c r="H418" s="1">
        <v>842.17</v>
      </c>
      <c r="I418" s="2">
        <v>43984.333333333336</v>
      </c>
      <c r="J418" s="2">
        <v>43984.833333333336</v>
      </c>
      <c r="K418" t="s">
        <v>1669</v>
      </c>
    </row>
    <row r="419" spans="1:11" x14ac:dyDescent="0.25">
      <c r="A419" t="s">
        <v>11</v>
      </c>
      <c r="B419" t="s">
        <v>284</v>
      </c>
      <c r="C419" t="str">
        <f>"2019-85341"</f>
        <v>2019-85341</v>
      </c>
      <c r="D419" t="s">
        <v>1670</v>
      </c>
      <c r="E419" t="s">
        <v>1671</v>
      </c>
      <c r="F419" t="s">
        <v>1672</v>
      </c>
      <c r="G419" t="s">
        <v>1673</v>
      </c>
      <c r="H419" s="1">
        <v>847.3</v>
      </c>
      <c r="I419" s="2">
        <v>43984.333333333336</v>
      </c>
      <c r="J419" s="2">
        <v>43984.833333333336</v>
      </c>
      <c r="K419" t="s">
        <v>1674</v>
      </c>
    </row>
    <row r="420" spans="1:11" x14ac:dyDescent="0.25">
      <c r="A420" t="s">
        <v>11</v>
      </c>
      <c r="B420" t="s">
        <v>12</v>
      </c>
      <c r="C420" t="str">
        <f>"0501090500"</f>
        <v>0501090500</v>
      </c>
      <c r="D420" t="s">
        <v>1099</v>
      </c>
      <c r="E420" t="s">
        <v>1100</v>
      </c>
      <c r="F420" t="s">
        <v>1101</v>
      </c>
      <c r="G420" t="s">
        <v>1102</v>
      </c>
      <c r="H420" s="1">
        <v>853.17</v>
      </c>
      <c r="I420" s="2">
        <v>43984.333333333336</v>
      </c>
      <c r="J420" s="2">
        <v>43984.833333333336</v>
      </c>
      <c r="K420" t="s">
        <v>1675</v>
      </c>
    </row>
    <row r="421" spans="1:11" x14ac:dyDescent="0.25">
      <c r="A421" t="s">
        <v>11</v>
      </c>
      <c r="B421" t="s">
        <v>284</v>
      </c>
      <c r="C421" t="str">
        <f>"2019-66183"</f>
        <v>2019-66183</v>
      </c>
      <c r="D421" t="s">
        <v>1676</v>
      </c>
      <c r="E421" t="s">
        <v>1148</v>
      </c>
      <c r="F421" t="s">
        <v>1149</v>
      </c>
      <c r="G421" t="s">
        <v>377</v>
      </c>
      <c r="H421" s="1">
        <v>858.57</v>
      </c>
      <c r="I421" s="2">
        <v>43984.333333333336</v>
      </c>
      <c r="J421" s="2">
        <v>43984.833333333336</v>
      </c>
      <c r="K421" t="s">
        <v>1677</v>
      </c>
    </row>
    <row r="422" spans="1:11" x14ac:dyDescent="0.25">
      <c r="A422" t="s">
        <v>11</v>
      </c>
      <c r="B422" t="s">
        <v>12</v>
      </c>
      <c r="C422" t="str">
        <f>"0503105000"</f>
        <v>0503105000</v>
      </c>
      <c r="D422" t="s">
        <v>1678</v>
      </c>
      <c r="E422" t="s">
        <v>1679</v>
      </c>
      <c r="F422" t="s">
        <v>1680</v>
      </c>
      <c r="G422" t="s">
        <v>1681</v>
      </c>
      <c r="H422" s="1">
        <v>866.68</v>
      </c>
      <c r="I422" s="2">
        <v>43984.333333333336</v>
      </c>
      <c r="J422" s="2">
        <v>43984.833333333336</v>
      </c>
      <c r="K422" t="s">
        <v>1682</v>
      </c>
    </row>
    <row r="423" spans="1:11" x14ac:dyDescent="0.25">
      <c r="A423" t="s">
        <v>11</v>
      </c>
      <c r="B423" t="s">
        <v>12</v>
      </c>
      <c r="C423" t="str">
        <f>"0503106000"</f>
        <v>0503106000</v>
      </c>
      <c r="D423" t="s">
        <v>1683</v>
      </c>
      <c r="E423" t="s">
        <v>1684</v>
      </c>
      <c r="F423" t="s">
        <v>1685</v>
      </c>
      <c r="G423" t="s">
        <v>1686</v>
      </c>
      <c r="H423" s="1">
        <v>867.23</v>
      </c>
      <c r="I423" s="2">
        <v>43984.333333333336</v>
      </c>
      <c r="J423" s="2">
        <v>43984.833333333336</v>
      </c>
      <c r="K423" t="s">
        <v>1687</v>
      </c>
    </row>
    <row r="424" spans="1:11" x14ac:dyDescent="0.25">
      <c r="A424" t="s">
        <v>11</v>
      </c>
      <c r="B424" t="s">
        <v>284</v>
      </c>
      <c r="C424" t="str">
        <f>"2019-21049"</f>
        <v>2019-21049</v>
      </c>
      <c r="D424" t="s">
        <v>1688</v>
      </c>
      <c r="E424" t="s">
        <v>1689</v>
      </c>
      <c r="F424" t="s">
        <v>80</v>
      </c>
      <c r="G424" t="s">
        <v>191</v>
      </c>
      <c r="H424" s="1">
        <v>868.44</v>
      </c>
      <c r="I424" s="2">
        <v>43984.333333333336</v>
      </c>
      <c r="J424" s="2">
        <v>43984.833333333336</v>
      </c>
      <c r="K424" t="s">
        <v>1690</v>
      </c>
    </row>
    <row r="425" spans="1:11" x14ac:dyDescent="0.25">
      <c r="A425" t="s">
        <v>11</v>
      </c>
      <c r="B425" t="s">
        <v>284</v>
      </c>
      <c r="C425" t="str">
        <f>"2019-81545"</f>
        <v>2019-81545</v>
      </c>
      <c r="D425" t="s">
        <v>1691</v>
      </c>
      <c r="E425" t="s">
        <v>1692</v>
      </c>
      <c r="F425" t="s">
        <v>1693</v>
      </c>
      <c r="G425" t="s">
        <v>1694</v>
      </c>
      <c r="H425" s="1">
        <v>870.12</v>
      </c>
      <c r="I425" s="2">
        <v>43984.333333333336</v>
      </c>
      <c r="J425" s="2">
        <v>43984.833333333336</v>
      </c>
      <c r="K425" t="s">
        <v>1695</v>
      </c>
    </row>
    <row r="426" spans="1:11" x14ac:dyDescent="0.25">
      <c r="A426" t="s">
        <v>11</v>
      </c>
      <c r="B426" t="s">
        <v>284</v>
      </c>
      <c r="C426" t="str">
        <f>"2019-75991"</f>
        <v>2019-75991</v>
      </c>
      <c r="D426" t="s">
        <v>1696</v>
      </c>
      <c r="E426" t="s">
        <v>1697</v>
      </c>
      <c r="F426" t="s">
        <v>302</v>
      </c>
      <c r="G426" t="s">
        <v>303</v>
      </c>
      <c r="H426" s="1">
        <v>875.6</v>
      </c>
      <c r="I426" s="2">
        <v>43984.333333333336</v>
      </c>
      <c r="J426" s="2">
        <v>43984.833333333336</v>
      </c>
      <c r="K426" t="s">
        <v>1698</v>
      </c>
    </row>
    <row r="427" spans="1:11" x14ac:dyDescent="0.25">
      <c r="A427" t="s">
        <v>11</v>
      </c>
      <c r="B427" t="s">
        <v>284</v>
      </c>
      <c r="C427" t="str">
        <f>"2019-78251"</f>
        <v>2019-78251</v>
      </c>
      <c r="D427" t="s">
        <v>1699</v>
      </c>
      <c r="E427" t="s">
        <v>1700</v>
      </c>
      <c r="F427" t="s">
        <v>1701</v>
      </c>
      <c r="G427" t="s">
        <v>1702</v>
      </c>
      <c r="H427" s="1">
        <v>877.11</v>
      </c>
      <c r="I427" s="2">
        <v>43984.333333333336</v>
      </c>
      <c r="J427" s="2">
        <v>43984.833333333336</v>
      </c>
      <c r="K427" t="s">
        <v>1703</v>
      </c>
    </row>
    <row r="428" spans="1:11" x14ac:dyDescent="0.25">
      <c r="A428" t="s">
        <v>11</v>
      </c>
      <c r="B428" t="s">
        <v>284</v>
      </c>
      <c r="C428" t="str">
        <f>"2019-16485"</f>
        <v>2019-16485</v>
      </c>
      <c r="D428" t="s">
        <v>1704</v>
      </c>
      <c r="E428" t="s">
        <v>1705</v>
      </c>
      <c r="F428" t="s">
        <v>1706</v>
      </c>
      <c r="G428" t="s">
        <v>1707</v>
      </c>
      <c r="H428" s="1">
        <v>877.54</v>
      </c>
      <c r="I428" s="2">
        <v>43984.333333333336</v>
      </c>
      <c r="J428" s="2">
        <v>43984.833333333336</v>
      </c>
      <c r="K428" t="s">
        <v>1708</v>
      </c>
    </row>
    <row r="429" spans="1:11" x14ac:dyDescent="0.25">
      <c r="A429" t="s">
        <v>11</v>
      </c>
      <c r="B429" t="s">
        <v>284</v>
      </c>
      <c r="C429" t="str">
        <f>"2019-58867"</f>
        <v>2019-58867</v>
      </c>
      <c r="D429" t="s">
        <v>1709</v>
      </c>
      <c r="E429" t="s">
        <v>1710</v>
      </c>
      <c r="F429" t="s">
        <v>1711</v>
      </c>
      <c r="G429" t="s">
        <v>1712</v>
      </c>
      <c r="H429" s="1">
        <v>881.3</v>
      </c>
      <c r="I429" s="2">
        <v>43984.333333333336</v>
      </c>
      <c r="J429" s="2">
        <v>43984.833333333336</v>
      </c>
      <c r="K429" t="s">
        <v>1713</v>
      </c>
    </row>
    <row r="430" spans="1:11" x14ac:dyDescent="0.25">
      <c r="A430" t="s">
        <v>11</v>
      </c>
      <c r="B430" t="s">
        <v>12</v>
      </c>
      <c r="C430" t="str">
        <f>"0504805500"</f>
        <v>0504805500</v>
      </c>
      <c r="D430" t="s">
        <v>1714</v>
      </c>
      <c r="E430" t="s">
        <v>1715</v>
      </c>
      <c r="F430" t="s">
        <v>1716</v>
      </c>
      <c r="G430" t="s">
        <v>1717</v>
      </c>
      <c r="H430" s="1">
        <v>885.41</v>
      </c>
      <c r="I430" s="2">
        <v>43984.333333333336</v>
      </c>
      <c r="J430" s="2">
        <v>43984.833333333336</v>
      </c>
      <c r="K430" t="s">
        <v>1718</v>
      </c>
    </row>
    <row r="431" spans="1:11" x14ac:dyDescent="0.25">
      <c r="A431" t="s">
        <v>11</v>
      </c>
      <c r="B431" t="s">
        <v>284</v>
      </c>
      <c r="C431" t="str">
        <f>"2019-68756"</f>
        <v>2019-68756</v>
      </c>
      <c r="D431" t="s">
        <v>1719</v>
      </c>
      <c r="E431" t="s">
        <v>1169</v>
      </c>
      <c r="F431" t="s">
        <v>1170</v>
      </c>
      <c r="G431" t="s">
        <v>1720</v>
      </c>
      <c r="H431" s="1">
        <v>888</v>
      </c>
      <c r="I431" s="2">
        <v>43984.333333333336</v>
      </c>
      <c r="J431" s="2">
        <v>43984.833333333336</v>
      </c>
      <c r="K431" t="s">
        <v>1721</v>
      </c>
    </row>
    <row r="432" spans="1:11" x14ac:dyDescent="0.25">
      <c r="A432" t="s">
        <v>11</v>
      </c>
      <c r="B432" t="s">
        <v>284</v>
      </c>
      <c r="C432" t="str">
        <f>"2019-43490"</f>
        <v>2019-43490</v>
      </c>
      <c r="D432" t="s">
        <v>1722</v>
      </c>
      <c r="E432" t="s">
        <v>1723</v>
      </c>
      <c r="F432" t="s">
        <v>1724</v>
      </c>
      <c r="G432" t="s">
        <v>1725</v>
      </c>
      <c r="H432" s="1">
        <v>897.36</v>
      </c>
      <c r="I432" s="2">
        <v>43984.333333333336</v>
      </c>
      <c r="J432" s="2">
        <v>43984.833333333336</v>
      </c>
      <c r="K432" t="s">
        <v>1726</v>
      </c>
    </row>
    <row r="433" spans="1:11" x14ac:dyDescent="0.25">
      <c r="A433" t="s">
        <v>11</v>
      </c>
      <c r="B433" t="s">
        <v>284</v>
      </c>
      <c r="C433" t="str">
        <f>"2019-69304"</f>
        <v>2019-69304</v>
      </c>
      <c r="D433" t="s">
        <v>1180</v>
      </c>
      <c r="E433" t="s">
        <v>1181</v>
      </c>
      <c r="F433" t="s">
        <v>320</v>
      </c>
      <c r="G433" t="s">
        <v>321</v>
      </c>
      <c r="H433" s="1">
        <v>898.26</v>
      </c>
      <c r="I433" s="2">
        <v>43984.333333333336</v>
      </c>
      <c r="J433" s="2">
        <v>43984.833333333336</v>
      </c>
      <c r="K433" t="s">
        <v>1727</v>
      </c>
    </row>
    <row r="434" spans="1:11" x14ac:dyDescent="0.25">
      <c r="A434" t="s">
        <v>11</v>
      </c>
      <c r="B434" t="s">
        <v>284</v>
      </c>
      <c r="C434" t="str">
        <f>"2019-58450"</f>
        <v>2019-58450</v>
      </c>
      <c r="D434" t="s">
        <v>1728</v>
      </c>
      <c r="E434" t="s">
        <v>1729</v>
      </c>
      <c r="F434" t="s">
        <v>481</v>
      </c>
      <c r="G434" t="s">
        <v>482</v>
      </c>
      <c r="H434" s="1">
        <v>899.84</v>
      </c>
      <c r="I434" s="2">
        <v>43984.333333333336</v>
      </c>
      <c r="J434" s="2">
        <v>43984.833333333336</v>
      </c>
      <c r="K434" t="s">
        <v>1730</v>
      </c>
    </row>
    <row r="435" spans="1:11" x14ac:dyDescent="0.25">
      <c r="A435" t="s">
        <v>11</v>
      </c>
      <c r="B435" t="s">
        <v>12</v>
      </c>
      <c r="C435" t="str">
        <f>"0501879000A"</f>
        <v>0501879000A</v>
      </c>
      <c r="D435" t="s">
        <v>1731</v>
      </c>
      <c r="E435" t="s">
        <v>1732</v>
      </c>
      <c r="F435" t="s">
        <v>1733</v>
      </c>
      <c r="G435" t="s">
        <v>1734</v>
      </c>
      <c r="H435" s="1">
        <v>900.37</v>
      </c>
      <c r="I435" s="2">
        <v>43984.333333333336</v>
      </c>
      <c r="J435" s="2">
        <v>43984.833333333336</v>
      </c>
      <c r="K435" t="s">
        <v>1735</v>
      </c>
    </row>
    <row r="436" spans="1:11" x14ac:dyDescent="0.25">
      <c r="A436" t="s">
        <v>11</v>
      </c>
      <c r="B436" t="s">
        <v>284</v>
      </c>
      <c r="C436" t="str">
        <f>"2019-34606"</f>
        <v>2019-34606</v>
      </c>
      <c r="D436" t="s">
        <v>1736</v>
      </c>
      <c r="E436" t="s">
        <v>1737</v>
      </c>
      <c r="F436" t="s">
        <v>1549</v>
      </c>
      <c r="G436" t="s">
        <v>1738</v>
      </c>
      <c r="H436" s="1">
        <v>904.05</v>
      </c>
      <c r="I436" s="2">
        <v>43984.333333333336</v>
      </c>
      <c r="J436" s="2">
        <v>43984.833333333336</v>
      </c>
      <c r="K436" t="s">
        <v>1739</v>
      </c>
    </row>
    <row r="437" spans="1:11" x14ac:dyDescent="0.25">
      <c r="A437" t="s">
        <v>11</v>
      </c>
      <c r="B437" t="s">
        <v>284</v>
      </c>
      <c r="C437" t="str">
        <f>"2019-86738"</f>
        <v>2019-86738</v>
      </c>
      <c r="D437" t="s">
        <v>1740</v>
      </c>
      <c r="E437" t="s">
        <v>1741</v>
      </c>
      <c r="F437" t="s">
        <v>1742</v>
      </c>
      <c r="G437" t="s">
        <v>1743</v>
      </c>
      <c r="H437" s="1">
        <v>905.16</v>
      </c>
      <c r="I437" s="2">
        <v>43984.333333333336</v>
      </c>
      <c r="J437" s="2">
        <v>43984.833333333336</v>
      </c>
      <c r="K437" t="s">
        <v>1744</v>
      </c>
    </row>
    <row r="438" spans="1:11" x14ac:dyDescent="0.25">
      <c r="A438" t="s">
        <v>11</v>
      </c>
      <c r="B438" t="s">
        <v>284</v>
      </c>
      <c r="C438" t="str">
        <f>"2019-12452"</f>
        <v>2019-12452</v>
      </c>
      <c r="D438" t="s">
        <v>1745</v>
      </c>
      <c r="E438" t="s">
        <v>1746</v>
      </c>
      <c r="F438" t="s">
        <v>1747</v>
      </c>
      <c r="G438" t="s">
        <v>1748</v>
      </c>
      <c r="H438" s="1">
        <v>906.7</v>
      </c>
      <c r="I438" s="2">
        <v>43984.333333333336</v>
      </c>
      <c r="J438" s="2">
        <v>43984.833333333336</v>
      </c>
      <c r="K438" t="s">
        <v>1749</v>
      </c>
    </row>
    <row r="439" spans="1:11" x14ac:dyDescent="0.25">
      <c r="A439" t="s">
        <v>11</v>
      </c>
      <c r="B439" t="s">
        <v>284</v>
      </c>
      <c r="C439" t="str">
        <f>"2019-41655"</f>
        <v>2019-41655</v>
      </c>
      <c r="D439" t="s">
        <v>1750</v>
      </c>
      <c r="E439" t="s">
        <v>1751</v>
      </c>
      <c r="F439" t="s">
        <v>1752</v>
      </c>
      <c r="G439" t="s">
        <v>1753</v>
      </c>
      <c r="H439" s="1">
        <v>910.28</v>
      </c>
      <c r="I439" s="2">
        <v>43984.333333333336</v>
      </c>
      <c r="J439" s="2">
        <v>43984.833333333336</v>
      </c>
      <c r="K439" t="s">
        <v>1754</v>
      </c>
    </row>
    <row r="440" spans="1:11" x14ac:dyDescent="0.25">
      <c r="A440" t="s">
        <v>11</v>
      </c>
      <c r="B440" t="s">
        <v>284</v>
      </c>
      <c r="C440" t="str">
        <f>"2019-57156"</f>
        <v>2019-57156</v>
      </c>
      <c r="D440" t="s">
        <v>1755</v>
      </c>
      <c r="E440" t="s">
        <v>1756</v>
      </c>
      <c r="F440" t="s">
        <v>1757</v>
      </c>
      <c r="G440" t="s">
        <v>1758</v>
      </c>
      <c r="H440" s="1">
        <v>921.36</v>
      </c>
      <c r="I440" s="2">
        <v>43984.333333333336</v>
      </c>
      <c r="J440" s="2">
        <v>43984.833333333336</v>
      </c>
      <c r="K440" t="s">
        <v>1759</v>
      </c>
    </row>
    <row r="441" spans="1:11" x14ac:dyDescent="0.25">
      <c r="A441" t="s">
        <v>11</v>
      </c>
      <c r="B441" t="s">
        <v>284</v>
      </c>
      <c r="C441" t="str">
        <f>"2019-43646"</f>
        <v>2019-43646</v>
      </c>
      <c r="D441" t="s">
        <v>1194</v>
      </c>
      <c r="E441" t="s">
        <v>1195</v>
      </c>
      <c r="F441" t="s">
        <v>1196</v>
      </c>
      <c r="G441" t="s">
        <v>1197</v>
      </c>
      <c r="H441" s="1">
        <v>923.54</v>
      </c>
      <c r="I441" s="2">
        <v>43984.333333333336</v>
      </c>
      <c r="J441" s="2">
        <v>43984.833333333336</v>
      </c>
      <c r="K441" t="s">
        <v>1760</v>
      </c>
    </row>
    <row r="442" spans="1:11" x14ac:dyDescent="0.25">
      <c r="A442" t="s">
        <v>11</v>
      </c>
      <c r="B442" t="s">
        <v>12</v>
      </c>
      <c r="C442" t="str">
        <f>"0500044500"</f>
        <v>0500044500</v>
      </c>
      <c r="D442" t="s">
        <v>1761</v>
      </c>
      <c r="E442" t="s">
        <v>1762</v>
      </c>
      <c r="F442" t="s">
        <v>1763</v>
      </c>
      <c r="G442" t="s">
        <v>1764</v>
      </c>
      <c r="H442" s="1">
        <v>943.06</v>
      </c>
      <c r="I442" s="2">
        <v>43984.333333333336</v>
      </c>
      <c r="J442" s="2">
        <v>43984.833333333336</v>
      </c>
      <c r="K442" t="s">
        <v>1765</v>
      </c>
    </row>
    <row r="443" spans="1:11" x14ac:dyDescent="0.25">
      <c r="A443" t="s">
        <v>11</v>
      </c>
      <c r="B443" t="s">
        <v>284</v>
      </c>
      <c r="C443" t="str">
        <f>"2019-28431"</f>
        <v>2019-28431</v>
      </c>
      <c r="D443" t="s">
        <v>1766</v>
      </c>
      <c r="E443" t="s">
        <v>1767</v>
      </c>
      <c r="F443" t="s">
        <v>1768</v>
      </c>
      <c r="G443" t="s">
        <v>1769</v>
      </c>
      <c r="H443" s="1">
        <v>966.5</v>
      </c>
      <c r="I443" s="2">
        <v>43984.333333333336</v>
      </c>
      <c r="J443" s="2">
        <v>43984.833333333336</v>
      </c>
      <c r="K443" t="s">
        <v>1770</v>
      </c>
    </row>
    <row r="444" spans="1:11" x14ac:dyDescent="0.25">
      <c r="A444" t="s">
        <v>11</v>
      </c>
      <c r="B444" t="s">
        <v>284</v>
      </c>
      <c r="C444" t="str">
        <f>"2019-84446"</f>
        <v>2019-84446</v>
      </c>
      <c r="D444" t="s">
        <v>1242</v>
      </c>
      <c r="E444" t="s">
        <v>1243</v>
      </c>
      <c r="F444" t="s">
        <v>100</v>
      </c>
      <c r="G444" t="s">
        <v>101</v>
      </c>
      <c r="H444" s="1">
        <v>978.77</v>
      </c>
      <c r="I444" s="2">
        <v>43984.333333333336</v>
      </c>
      <c r="J444" s="2">
        <v>43984.833333333336</v>
      </c>
      <c r="K444" t="s">
        <v>1771</v>
      </c>
    </row>
    <row r="445" spans="1:11" x14ac:dyDescent="0.25">
      <c r="A445" t="s">
        <v>11</v>
      </c>
      <c r="B445" t="s">
        <v>284</v>
      </c>
      <c r="C445" t="str">
        <f>"2019-16702"</f>
        <v>2019-16702</v>
      </c>
      <c r="D445" t="s">
        <v>1772</v>
      </c>
      <c r="E445" t="s">
        <v>165</v>
      </c>
      <c r="F445" t="s">
        <v>166</v>
      </c>
      <c r="G445" t="s">
        <v>26</v>
      </c>
      <c r="H445" s="1">
        <v>980.4</v>
      </c>
      <c r="I445" s="2">
        <v>43984.333333333336</v>
      </c>
      <c r="J445" s="2">
        <v>43984.833333333336</v>
      </c>
      <c r="K445" t="s">
        <v>1773</v>
      </c>
    </row>
    <row r="446" spans="1:11" x14ac:dyDescent="0.25">
      <c r="A446" t="s">
        <v>11</v>
      </c>
      <c r="B446" t="s">
        <v>284</v>
      </c>
      <c r="C446" t="str">
        <f>"2019-25898"</f>
        <v>2019-25898</v>
      </c>
      <c r="D446" t="s">
        <v>1774</v>
      </c>
      <c r="E446" t="s">
        <v>1248</v>
      </c>
      <c r="F446" t="s">
        <v>320</v>
      </c>
      <c r="G446" t="s">
        <v>321</v>
      </c>
      <c r="H446" s="1">
        <v>981.06</v>
      </c>
      <c r="I446" s="2">
        <v>43984.333333333336</v>
      </c>
      <c r="J446" s="2">
        <v>43984.833333333336</v>
      </c>
      <c r="K446" t="s">
        <v>1775</v>
      </c>
    </row>
    <row r="447" spans="1:11" x14ac:dyDescent="0.25">
      <c r="A447" t="s">
        <v>11</v>
      </c>
      <c r="B447" t="s">
        <v>284</v>
      </c>
      <c r="C447" t="str">
        <f>"2019-50136"</f>
        <v>2019-50136</v>
      </c>
      <c r="D447" t="s">
        <v>168</v>
      </c>
      <c r="E447" t="s">
        <v>169</v>
      </c>
      <c r="F447" t="s">
        <v>170</v>
      </c>
      <c r="G447" t="s">
        <v>171</v>
      </c>
      <c r="H447" s="1">
        <v>983.8</v>
      </c>
      <c r="I447" s="2">
        <v>43984.333333333336</v>
      </c>
      <c r="J447" s="2">
        <v>43984.833333333336</v>
      </c>
      <c r="K447" t="s">
        <v>1776</v>
      </c>
    </row>
    <row r="448" spans="1:11" x14ac:dyDescent="0.25">
      <c r="A448" t="s">
        <v>11</v>
      </c>
      <c r="B448" t="s">
        <v>284</v>
      </c>
      <c r="C448" t="str">
        <f>"2019-26088"</f>
        <v>2019-26088</v>
      </c>
      <c r="D448" t="s">
        <v>1777</v>
      </c>
      <c r="E448" t="s">
        <v>1778</v>
      </c>
      <c r="F448" t="s">
        <v>1779</v>
      </c>
      <c r="G448" t="s">
        <v>1780</v>
      </c>
      <c r="H448" s="1">
        <v>991.31</v>
      </c>
      <c r="I448" s="2">
        <v>43984.333333333336</v>
      </c>
      <c r="J448" s="2">
        <v>43984.833333333336</v>
      </c>
      <c r="K448" t="s">
        <v>1781</v>
      </c>
    </row>
    <row r="449" spans="1:11" x14ac:dyDescent="0.25">
      <c r="A449" t="s">
        <v>11</v>
      </c>
      <c r="B449" t="s">
        <v>284</v>
      </c>
      <c r="C449" t="str">
        <f>"2019-26565"</f>
        <v>2019-26565</v>
      </c>
      <c r="D449" t="s">
        <v>1782</v>
      </c>
      <c r="E449" t="s">
        <v>1783</v>
      </c>
      <c r="F449" t="s">
        <v>1784</v>
      </c>
      <c r="G449" t="s">
        <v>1785</v>
      </c>
      <c r="H449" s="1">
        <v>993.22</v>
      </c>
      <c r="I449" s="2">
        <v>43984.333333333336</v>
      </c>
      <c r="J449" s="2">
        <v>43984.833333333336</v>
      </c>
      <c r="K449" t="s">
        <v>1786</v>
      </c>
    </row>
    <row r="450" spans="1:11" x14ac:dyDescent="0.25">
      <c r="A450" t="s">
        <v>11</v>
      </c>
      <c r="B450" t="s">
        <v>284</v>
      </c>
      <c r="C450" t="str">
        <f>"2019-47376"</f>
        <v>2019-47376</v>
      </c>
      <c r="D450" t="s">
        <v>1787</v>
      </c>
      <c r="E450" t="s">
        <v>1788</v>
      </c>
      <c r="F450" t="s">
        <v>1789</v>
      </c>
      <c r="G450" t="s">
        <v>1790</v>
      </c>
      <c r="H450" s="1">
        <v>993.33</v>
      </c>
      <c r="I450" s="2">
        <v>43984.333333333336</v>
      </c>
      <c r="J450" s="2">
        <v>43984.833333333336</v>
      </c>
      <c r="K450" t="s">
        <v>1791</v>
      </c>
    </row>
    <row r="451" spans="1:11" x14ac:dyDescent="0.25">
      <c r="A451" t="s">
        <v>11</v>
      </c>
      <c r="B451" t="s">
        <v>284</v>
      </c>
      <c r="C451" t="str">
        <f>"2019-23754"</f>
        <v>2019-23754</v>
      </c>
      <c r="D451" t="s">
        <v>1792</v>
      </c>
      <c r="E451" t="s">
        <v>1793</v>
      </c>
      <c r="F451" t="s">
        <v>1794</v>
      </c>
      <c r="G451" t="s">
        <v>1795</v>
      </c>
      <c r="H451" s="1">
        <v>996.39</v>
      </c>
      <c r="I451" s="2">
        <v>43984.333333333336</v>
      </c>
      <c r="J451" s="2">
        <v>43984.833333333336</v>
      </c>
      <c r="K451" t="s">
        <v>1796</v>
      </c>
    </row>
    <row r="452" spans="1:11" x14ac:dyDescent="0.25">
      <c r="A452" t="s">
        <v>11</v>
      </c>
      <c r="B452" t="s">
        <v>284</v>
      </c>
      <c r="C452" t="str">
        <f>"2019-72415"</f>
        <v>2019-72415</v>
      </c>
      <c r="D452" t="s">
        <v>1797</v>
      </c>
      <c r="E452" t="s">
        <v>1798</v>
      </c>
      <c r="F452" t="s">
        <v>1799</v>
      </c>
      <c r="G452" t="s">
        <v>1800</v>
      </c>
      <c r="H452" s="1">
        <v>997.48</v>
      </c>
      <c r="I452" s="2">
        <v>43984.333333333336</v>
      </c>
      <c r="J452" s="2">
        <v>43984.833333333336</v>
      </c>
      <c r="K452" t="s">
        <v>1801</v>
      </c>
    </row>
    <row r="453" spans="1:11" x14ac:dyDescent="0.25">
      <c r="A453" t="s">
        <v>11</v>
      </c>
      <c r="B453" t="s">
        <v>284</v>
      </c>
      <c r="C453" t="str">
        <f>"2019-22948"</f>
        <v>2019-22948</v>
      </c>
      <c r="D453" t="s">
        <v>1802</v>
      </c>
      <c r="E453" t="s">
        <v>1803</v>
      </c>
      <c r="F453" t="s">
        <v>1804</v>
      </c>
      <c r="G453" t="s">
        <v>1805</v>
      </c>
      <c r="H453" s="1">
        <v>1004.67</v>
      </c>
      <c r="I453" s="2">
        <v>43984.333333333336</v>
      </c>
      <c r="J453" s="2">
        <v>43984.833333333336</v>
      </c>
      <c r="K453" t="s">
        <v>1806</v>
      </c>
    </row>
    <row r="454" spans="1:11" x14ac:dyDescent="0.25">
      <c r="A454" t="s">
        <v>11</v>
      </c>
      <c r="B454" t="s">
        <v>284</v>
      </c>
      <c r="C454" t="str">
        <f>"2019-25469"</f>
        <v>2019-25469</v>
      </c>
      <c r="D454" t="s">
        <v>1807</v>
      </c>
      <c r="E454" t="s">
        <v>1283</v>
      </c>
      <c r="F454" t="s">
        <v>320</v>
      </c>
      <c r="G454" t="s">
        <v>321</v>
      </c>
      <c r="H454" s="1">
        <v>1017.5</v>
      </c>
      <c r="I454" s="2">
        <v>43984.333333333336</v>
      </c>
      <c r="J454" s="2">
        <v>43984.833333333336</v>
      </c>
      <c r="K454" t="s">
        <v>1808</v>
      </c>
    </row>
    <row r="455" spans="1:11" x14ac:dyDescent="0.25">
      <c r="A455" t="s">
        <v>11</v>
      </c>
      <c r="B455" t="s">
        <v>284</v>
      </c>
      <c r="C455" t="str">
        <f>"2019-60810"</f>
        <v>2019-60810</v>
      </c>
      <c r="D455" t="s">
        <v>1292</v>
      </c>
      <c r="E455" t="s">
        <v>1293</v>
      </c>
      <c r="F455" t="s">
        <v>1294</v>
      </c>
      <c r="G455" t="s">
        <v>1295</v>
      </c>
      <c r="H455" s="1">
        <v>1022.31</v>
      </c>
      <c r="I455" s="2">
        <v>43984.333333333336</v>
      </c>
      <c r="J455" s="2">
        <v>43984.833333333336</v>
      </c>
      <c r="K455" t="s">
        <v>1809</v>
      </c>
    </row>
    <row r="456" spans="1:11" x14ac:dyDescent="0.25">
      <c r="A456" t="s">
        <v>11</v>
      </c>
      <c r="B456" t="s">
        <v>284</v>
      </c>
      <c r="C456" t="str">
        <f>"2019-85699"</f>
        <v>2019-85699</v>
      </c>
      <c r="D456" t="s">
        <v>1810</v>
      </c>
      <c r="E456" t="s">
        <v>1811</v>
      </c>
      <c r="F456" t="s">
        <v>1812</v>
      </c>
      <c r="G456" t="s">
        <v>1813</v>
      </c>
      <c r="H456" s="1">
        <v>1035.99</v>
      </c>
      <c r="I456" s="2">
        <v>43984.333333333336</v>
      </c>
      <c r="J456" s="2">
        <v>43984.833333333336</v>
      </c>
      <c r="K456" t="s">
        <v>1814</v>
      </c>
    </row>
    <row r="457" spans="1:11" x14ac:dyDescent="0.25">
      <c r="A457" t="s">
        <v>11</v>
      </c>
      <c r="B457" t="s">
        <v>284</v>
      </c>
      <c r="C457" t="str">
        <f>"2019-17896"</f>
        <v>2019-17896</v>
      </c>
      <c r="D457" t="s">
        <v>1815</v>
      </c>
      <c r="E457" t="s">
        <v>214</v>
      </c>
      <c r="F457" t="s">
        <v>215</v>
      </c>
      <c r="G457" t="s">
        <v>216</v>
      </c>
      <c r="H457" s="1">
        <v>1037.33</v>
      </c>
      <c r="I457" s="2">
        <v>43984.333333333336</v>
      </c>
      <c r="J457" s="2">
        <v>43984.833333333336</v>
      </c>
      <c r="K457" t="s">
        <v>1816</v>
      </c>
    </row>
    <row r="458" spans="1:11" x14ac:dyDescent="0.25">
      <c r="A458" t="s">
        <v>11</v>
      </c>
      <c r="B458" t="s">
        <v>284</v>
      </c>
      <c r="C458" t="str">
        <f>"2019-75438"</f>
        <v>2019-75438</v>
      </c>
      <c r="D458" t="s">
        <v>1817</v>
      </c>
      <c r="E458" t="s">
        <v>219</v>
      </c>
      <c r="F458" t="s">
        <v>220</v>
      </c>
      <c r="G458" t="s">
        <v>221</v>
      </c>
      <c r="H458" s="1">
        <v>1042.79</v>
      </c>
      <c r="I458" s="2">
        <v>43984.333333333336</v>
      </c>
      <c r="J458" s="2">
        <v>43984.833333333336</v>
      </c>
      <c r="K458" t="s">
        <v>1818</v>
      </c>
    </row>
    <row r="459" spans="1:11" x14ac:dyDescent="0.25">
      <c r="A459" t="s">
        <v>11</v>
      </c>
      <c r="B459" t="s">
        <v>284</v>
      </c>
      <c r="C459" t="str">
        <f>"2019-42944"</f>
        <v>2019-42944</v>
      </c>
      <c r="D459" t="s">
        <v>1819</v>
      </c>
      <c r="E459" t="s">
        <v>1820</v>
      </c>
      <c r="F459" t="s">
        <v>1821</v>
      </c>
      <c r="G459" t="s">
        <v>1822</v>
      </c>
      <c r="H459" s="1">
        <v>1093.26</v>
      </c>
      <c r="I459" s="2">
        <v>43984.333333333336</v>
      </c>
      <c r="J459" s="2">
        <v>43984.833333333336</v>
      </c>
      <c r="K459" t="s">
        <v>1823</v>
      </c>
    </row>
    <row r="460" spans="1:11" x14ac:dyDescent="0.25">
      <c r="A460" t="s">
        <v>11</v>
      </c>
      <c r="B460" t="s">
        <v>284</v>
      </c>
      <c r="C460" t="str">
        <f>"2019-63247"</f>
        <v>2019-63247</v>
      </c>
      <c r="D460" t="s">
        <v>1824</v>
      </c>
      <c r="E460" t="s">
        <v>1825</v>
      </c>
      <c r="F460" t="s">
        <v>1826</v>
      </c>
      <c r="G460" t="s">
        <v>1827</v>
      </c>
      <c r="H460" s="1">
        <v>1108.83</v>
      </c>
      <c r="I460" s="2">
        <v>43984.333333333336</v>
      </c>
      <c r="J460" s="2">
        <v>43984.833333333336</v>
      </c>
      <c r="K460" t="s">
        <v>1828</v>
      </c>
    </row>
    <row r="461" spans="1:11" x14ac:dyDescent="0.25">
      <c r="A461" t="s">
        <v>11</v>
      </c>
      <c r="B461" t="s">
        <v>284</v>
      </c>
      <c r="C461" t="str">
        <f>"2019-11209"</f>
        <v>2019-11209</v>
      </c>
      <c r="D461" t="s">
        <v>1395</v>
      </c>
      <c r="E461" t="s">
        <v>1396</v>
      </c>
      <c r="F461" t="s">
        <v>1829</v>
      </c>
      <c r="G461" t="s">
        <v>1398</v>
      </c>
      <c r="H461" s="1">
        <v>1113.0899999999999</v>
      </c>
      <c r="I461" s="2">
        <v>43984.333333333336</v>
      </c>
      <c r="J461" s="2">
        <v>43984.833333333336</v>
      </c>
      <c r="K461" t="s">
        <v>1830</v>
      </c>
    </row>
    <row r="462" spans="1:11" x14ac:dyDescent="0.25">
      <c r="A462" t="s">
        <v>11</v>
      </c>
      <c r="B462" t="s">
        <v>284</v>
      </c>
      <c r="C462" t="str">
        <f>"2019-47089"</f>
        <v>2019-47089</v>
      </c>
      <c r="D462" t="s">
        <v>1831</v>
      </c>
      <c r="E462" t="s">
        <v>1832</v>
      </c>
      <c r="F462" t="s">
        <v>557</v>
      </c>
      <c r="G462" t="s">
        <v>1833</v>
      </c>
      <c r="H462" s="1">
        <v>1118.03</v>
      </c>
      <c r="I462" s="2">
        <v>43984.333333333336</v>
      </c>
      <c r="J462" s="2">
        <v>43984.833333333336</v>
      </c>
      <c r="K462" t="s">
        <v>1834</v>
      </c>
    </row>
    <row r="463" spans="1:11" x14ac:dyDescent="0.25">
      <c r="A463" t="s">
        <v>11</v>
      </c>
      <c r="B463" t="s">
        <v>284</v>
      </c>
      <c r="C463" t="str">
        <f>"2019-10594"</f>
        <v>2019-10594</v>
      </c>
      <c r="D463" t="s">
        <v>1835</v>
      </c>
      <c r="E463" t="s">
        <v>1836</v>
      </c>
      <c r="F463" t="s">
        <v>1837</v>
      </c>
      <c r="G463" t="s">
        <v>1838</v>
      </c>
      <c r="H463" s="1">
        <v>1129.78</v>
      </c>
      <c r="I463" s="2">
        <v>43984.333333333336</v>
      </c>
      <c r="J463" s="2">
        <v>43984.833333333336</v>
      </c>
      <c r="K463" t="s">
        <v>1839</v>
      </c>
    </row>
    <row r="464" spans="1:11" x14ac:dyDescent="0.25">
      <c r="A464" t="s">
        <v>11</v>
      </c>
      <c r="B464" t="s">
        <v>284</v>
      </c>
      <c r="C464" t="str">
        <f>"2019-84547"</f>
        <v>2019-84547</v>
      </c>
      <c r="D464" t="s">
        <v>1414</v>
      </c>
      <c r="E464" t="s">
        <v>1415</v>
      </c>
      <c r="F464" t="s">
        <v>1294</v>
      </c>
      <c r="G464" t="s">
        <v>1416</v>
      </c>
      <c r="H464" s="1">
        <v>1135.49</v>
      </c>
      <c r="I464" s="2">
        <v>43984.333333333336</v>
      </c>
      <c r="J464" s="2">
        <v>43984.833333333336</v>
      </c>
      <c r="K464" t="s">
        <v>1840</v>
      </c>
    </row>
    <row r="465" spans="1:11" x14ac:dyDescent="0.25">
      <c r="A465" t="s">
        <v>11</v>
      </c>
      <c r="B465" t="s">
        <v>284</v>
      </c>
      <c r="C465" t="str">
        <f>"2019-27875"</f>
        <v>2019-27875</v>
      </c>
      <c r="D465" t="s">
        <v>1841</v>
      </c>
      <c r="E465" t="s">
        <v>1842</v>
      </c>
      <c r="F465" t="s">
        <v>1469</v>
      </c>
      <c r="G465" t="s">
        <v>1470</v>
      </c>
      <c r="H465" s="1">
        <v>1140.22</v>
      </c>
      <c r="I465" s="2">
        <v>43984.333333333336</v>
      </c>
      <c r="J465" s="2">
        <v>43984.833333333336</v>
      </c>
      <c r="K465" t="s">
        <v>1843</v>
      </c>
    </row>
    <row r="466" spans="1:11" x14ac:dyDescent="0.25">
      <c r="A466" t="s">
        <v>11</v>
      </c>
      <c r="B466" t="s">
        <v>284</v>
      </c>
      <c r="C466" t="str">
        <f>"2019-60746"</f>
        <v>2019-60746</v>
      </c>
      <c r="D466" t="s">
        <v>1844</v>
      </c>
      <c r="E466" t="s">
        <v>1845</v>
      </c>
      <c r="F466" t="s">
        <v>557</v>
      </c>
      <c r="G466" t="s">
        <v>558</v>
      </c>
      <c r="H466" s="1">
        <v>1145.53</v>
      </c>
      <c r="I466" s="2">
        <v>43984.333333333336</v>
      </c>
      <c r="J466" s="2">
        <v>43984.833333333336</v>
      </c>
      <c r="K466" t="s">
        <v>1846</v>
      </c>
    </row>
    <row r="467" spans="1:11" x14ac:dyDescent="0.25">
      <c r="A467" t="s">
        <v>11</v>
      </c>
      <c r="B467" t="s">
        <v>284</v>
      </c>
      <c r="C467" t="str">
        <f>"2019-83244"</f>
        <v>2019-83244</v>
      </c>
      <c r="D467" t="s">
        <v>231</v>
      </c>
      <c r="E467" t="s">
        <v>232</v>
      </c>
      <c r="F467" t="s">
        <v>25</v>
      </c>
      <c r="G467" t="s">
        <v>26</v>
      </c>
      <c r="H467" s="1">
        <v>1145.83</v>
      </c>
      <c r="I467" s="2">
        <v>43984.333333333336</v>
      </c>
      <c r="J467" s="2">
        <v>43984.833333333336</v>
      </c>
      <c r="K467" t="s">
        <v>1847</v>
      </c>
    </row>
    <row r="468" spans="1:11" x14ac:dyDescent="0.25">
      <c r="A468" t="s">
        <v>11</v>
      </c>
      <c r="B468" t="s">
        <v>284</v>
      </c>
      <c r="C468" t="str">
        <f>"2019-27408"</f>
        <v>2019-27408</v>
      </c>
      <c r="D468" t="s">
        <v>1848</v>
      </c>
      <c r="E468" t="s">
        <v>1849</v>
      </c>
      <c r="F468" t="s">
        <v>1229</v>
      </c>
      <c r="G468" t="s">
        <v>321</v>
      </c>
      <c r="H468" s="1">
        <v>1150.8599999999999</v>
      </c>
      <c r="I468" s="2">
        <v>43984.333333333336</v>
      </c>
      <c r="J468" s="2">
        <v>43984.833333333336</v>
      </c>
      <c r="K468" t="s">
        <v>1850</v>
      </c>
    </row>
    <row r="469" spans="1:11" x14ac:dyDescent="0.25">
      <c r="A469" t="s">
        <v>11</v>
      </c>
      <c r="B469" t="s">
        <v>284</v>
      </c>
      <c r="C469" t="str">
        <f>"2019-72299"</f>
        <v>2019-72299</v>
      </c>
      <c r="D469" t="s">
        <v>1851</v>
      </c>
      <c r="E469" t="s">
        <v>1852</v>
      </c>
      <c r="F469" t="s">
        <v>1853</v>
      </c>
      <c r="G469" t="s">
        <v>1854</v>
      </c>
      <c r="H469" s="1">
        <v>1163.9100000000001</v>
      </c>
      <c r="I469" s="2">
        <v>43984.333333333336</v>
      </c>
      <c r="J469" s="2">
        <v>43984.833333333336</v>
      </c>
      <c r="K469" t="s">
        <v>1855</v>
      </c>
    </row>
    <row r="470" spans="1:11" x14ac:dyDescent="0.25">
      <c r="A470" t="s">
        <v>11</v>
      </c>
      <c r="B470" t="s">
        <v>284</v>
      </c>
      <c r="C470" t="str">
        <f>"2019-25787"</f>
        <v>2019-25787</v>
      </c>
      <c r="D470" t="s">
        <v>1856</v>
      </c>
      <c r="E470" t="s">
        <v>1857</v>
      </c>
      <c r="F470" t="s">
        <v>1858</v>
      </c>
      <c r="G470" t="s">
        <v>1859</v>
      </c>
      <c r="H470" s="1">
        <v>1177.6199999999999</v>
      </c>
      <c r="I470" s="2">
        <v>43984.333333333336</v>
      </c>
      <c r="J470" s="2">
        <v>43984.833333333336</v>
      </c>
      <c r="K470" t="s">
        <v>1860</v>
      </c>
    </row>
    <row r="471" spans="1:11" x14ac:dyDescent="0.25">
      <c r="A471" t="s">
        <v>11</v>
      </c>
      <c r="B471" t="s">
        <v>284</v>
      </c>
      <c r="C471" t="str">
        <f>"2019-30895"</f>
        <v>2019-30895</v>
      </c>
      <c r="D471" t="s">
        <v>1445</v>
      </c>
      <c r="E471" t="s">
        <v>1446</v>
      </c>
      <c r="F471" t="s">
        <v>1447</v>
      </c>
      <c r="G471" t="s">
        <v>1448</v>
      </c>
      <c r="H471" s="1">
        <v>1182.3699999999999</v>
      </c>
      <c r="I471" s="2">
        <v>43984.333333333336</v>
      </c>
      <c r="J471" s="2">
        <v>43984.833333333336</v>
      </c>
      <c r="K471" t="s">
        <v>1861</v>
      </c>
    </row>
    <row r="472" spans="1:11" x14ac:dyDescent="0.25">
      <c r="A472" t="s">
        <v>11</v>
      </c>
      <c r="B472" t="s">
        <v>284</v>
      </c>
      <c r="C472" t="str">
        <f>"2019-38357"</f>
        <v>2019-38357</v>
      </c>
      <c r="D472" t="s">
        <v>1862</v>
      </c>
      <c r="E472" t="s">
        <v>1679</v>
      </c>
      <c r="F472" t="s">
        <v>1680</v>
      </c>
      <c r="G472" t="s">
        <v>1681</v>
      </c>
      <c r="H472" s="1">
        <v>1191.28</v>
      </c>
      <c r="I472" s="2">
        <v>43984.333333333336</v>
      </c>
      <c r="J472" s="2">
        <v>43984.833333333336</v>
      </c>
      <c r="K472" t="s">
        <v>1863</v>
      </c>
    </row>
    <row r="473" spans="1:11" x14ac:dyDescent="0.25">
      <c r="A473" t="s">
        <v>11</v>
      </c>
      <c r="B473" t="s">
        <v>284</v>
      </c>
      <c r="C473" t="str">
        <f>"2019-40565"</f>
        <v>2019-40565</v>
      </c>
      <c r="D473" t="s">
        <v>1864</v>
      </c>
      <c r="E473" t="s">
        <v>1865</v>
      </c>
      <c r="F473" t="s">
        <v>1866</v>
      </c>
      <c r="G473" t="s">
        <v>1867</v>
      </c>
      <c r="H473" s="1">
        <v>1193.82</v>
      </c>
      <c r="I473" s="2">
        <v>43984.333333333336</v>
      </c>
      <c r="J473" s="2">
        <v>43984.833333333336</v>
      </c>
      <c r="K473" t="s">
        <v>1868</v>
      </c>
    </row>
    <row r="474" spans="1:11" x14ac:dyDescent="0.25">
      <c r="A474" t="s">
        <v>11</v>
      </c>
      <c r="B474" t="s">
        <v>284</v>
      </c>
      <c r="C474" t="str">
        <f>"2019-10975"</f>
        <v>2019-10975</v>
      </c>
      <c r="D474" t="s">
        <v>1869</v>
      </c>
      <c r="E474" t="s">
        <v>1870</v>
      </c>
      <c r="F474" t="s">
        <v>1871</v>
      </c>
      <c r="G474" t="s">
        <v>1872</v>
      </c>
      <c r="H474" s="1">
        <v>1195.28</v>
      </c>
      <c r="I474" s="2">
        <v>43984.333333333336</v>
      </c>
      <c r="J474" s="2">
        <v>43984.833333333336</v>
      </c>
      <c r="K474" t="s">
        <v>1873</v>
      </c>
    </row>
    <row r="475" spans="1:11" x14ac:dyDescent="0.25">
      <c r="A475" t="s">
        <v>11</v>
      </c>
      <c r="B475" t="s">
        <v>284</v>
      </c>
      <c r="C475" t="str">
        <f>"2019-74435"</f>
        <v>2019-74435</v>
      </c>
      <c r="D475" t="s">
        <v>186</v>
      </c>
      <c r="E475" t="s">
        <v>187</v>
      </c>
      <c r="F475" t="s">
        <v>100</v>
      </c>
      <c r="G475" t="s">
        <v>101</v>
      </c>
      <c r="H475" s="1">
        <v>1195.3599999999999</v>
      </c>
      <c r="I475" s="2">
        <v>43984.333333333336</v>
      </c>
      <c r="J475" s="2">
        <v>43984.833333333336</v>
      </c>
      <c r="K475" t="s">
        <v>1874</v>
      </c>
    </row>
    <row r="476" spans="1:11" x14ac:dyDescent="0.25">
      <c r="A476" t="s">
        <v>11</v>
      </c>
      <c r="B476" t="s">
        <v>284</v>
      </c>
      <c r="C476" t="str">
        <f>"2019-18049"</f>
        <v>2019-18049</v>
      </c>
      <c r="D476" t="s">
        <v>1875</v>
      </c>
      <c r="E476" t="s">
        <v>1460</v>
      </c>
      <c r="F476" t="s">
        <v>320</v>
      </c>
      <c r="G476" t="s">
        <v>321</v>
      </c>
      <c r="H476" s="1">
        <v>1203.49</v>
      </c>
      <c r="I476" s="2">
        <v>43984.333333333336</v>
      </c>
      <c r="J476" s="2">
        <v>43984.833333333336</v>
      </c>
      <c r="K476" t="s">
        <v>1876</v>
      </c>
    </row>
    <row r="477" spans="1:11" x14ac:dyDescent="0.25">
      <c r="A477" t="s">
        <v>11</v>
      </c>
      <c r="B477" t="s">
        <v>284</v>
      </c>
      <c r="C477" t="str">
        <f>"2019-26916"</f>
        <v>2019-26916</v>
      </c>
      <c r="D477" t="s">
        <v>1877</v>
      </c>
      <c r="E477" t="s">
        <v>1878</v>
      </c>
      <c r="F477" t="s">
        <v>1879</v>
      </c>
      <c r="G477" t="s">
        <v>1158</v>
      </c>
      <c r="H477" s="1">
        <v>1204.3</v>
      </c>
      <c r="I477" s="2">
        <v>43984.333333333336</v>
      </c>
      <c r="J477" s="2">
        <v>43984.833333333336</v>
      </c>
      <c r="K477" t="s">
        <v>1880</v>
      </c>
    </row>
    <row r="478" spans="1:11" x14ac:dyDescent="0.25">
      <c r="A478" t="s">
        <v>11</v>
      </c>
      <c r="B478" t="s">
        <v>284</v>
      </c>
      <c r="C478" t="str">
        <f>"2019-79934"</f>
        <v>2019-79934</v>
      </c>
      <c r="D478" t="s">
        <v>1881</v>
      </c>
      <c r="E478" t="s">
        <v>1882</v>
      </c>
      <c r="F478" t="s">
        <v>1883</v>
      </c>
      <c r="G478" t="s">
        <v>1884</v>
      </c>
      <c r="H478" s="1">
        <v>1208.19</v>
      </c>
      <c r="I478" s="2">
        <v>43984.333333333336</v>
      </c>
      <c r="J478" s="2">
        <v>43984.833333333336</v>
      </c>
      <c r="K478" t="s">
        <v>1885</v>
      </c>
    </row>
    <row r="479" spans="1:11" x14ac:dyDescent="0.25">
      <c r="A479" t="s">
        <v>11</v>
      </c>
      <c r="B479" t="s">
        <v>12</v>
      </c>
      <c r="C479" t="str">
        <f>"0503929500"</f>
        <v>0503929500</v>
      </c>
      <c r="D479" t="s">
        <v>1886</v>
      </c>
      <c r="E479" t="s">
        <v>1887</v>
      </c>
      <c r="F479" t="s">
        <v>1888</v>
      </c>
      <c r="G479" t="s">
        <v>1889</v>
      </c>
      <c r="H479" s="1">
        <v>1222.56</v>
      </c>
      <c r="I479" s="2">
        <v>43984.333333333336</v>
      </c>
      <c r="J479" s="2">
        <v>43984.833333333336</v>
      </c>
      <c r="K479" t="s">
        <v>1890</v>
      </c>
    </row>
    <row r="480" spans="1:11" x14ac:dyDescent="0.25">
      <c r="A480" t="s">
        <v>11</v>
      </c>
      <c r="B480" t="s">
        <v>284</v>
      </c>
      <c r="C480" t="str">
        <f>"2019-73682"</f>
        <v>2019-73682</v>
      </c>
      <c r="D480" t="s">
        <v>1891</v>
      </c>
      <c r="E480" t="s">
        <v>1892</v>
      </c>
      <c r="F480" t="s">
        <v>1893</v>
      </c>
      <c r="G480" t="s">
        <v>1894</v>
      </c>
      <c r="H480" s="1">
        <v>1235.69</v>
      </c>
      <c r="I480" s="2">
        <v>43984.333333333336</v>
      </c>
      <c r="J480" s="2">
        <v>43984.833333333336</v>
      </c>
      <c r="K480" t="s">
        <v>1895</v>
      </c>
    </row>
    <row r="481" spans="1:11" x14ac:dyDescent="0.25">
      <c r="A481" t="s">
        <v>11</v>
      </c>
      <c r="B481" t="s">
        <v>284</v>
      </c>
      <c r="C481" t="str">
        <f>"2019-34763"</f>
        <v>2019-34763</v>
      </c>
      <c r="D481" t="s">
        <v>1896</v>
      </c>
      <c r="E481" t="s">
        <v>1897</v>
      </c>
      <c r="F481" t="s">
        <v>1898</v>
      </c>
      <c r="G481" t="s">
        <v>1899</v>
      </c>
      <c r="H481" s="1">
        <v>1246.71</v>
      </c>
      <c r="I481" s="2">
        <v>43984.333333333336</v>
      </c>
      <c r="J481" s="2">
        <v>43984.833333333336</v>
      </c>
      <c r="K481" t="s">
        <v>1900</v>
      </c>
    </row>
    <row r="482" spans="1:11" x14ac:dyDescent="0.25">
      <c r="A482" t="s">
        <v>11</v>
      </c>
      <c r="B482" t="s">
        <v>284</v>
      </c>
      <c r="C482" t="str">
        <f>"2019-14725"</f>
        <v>2019-14725</v>
      </c>
      <c r="D482" t="s">
        <v>1901</v>
      </c>
      <c r="E482" t="s">
        <v>1902</v>
      </c>
      <c r="F482" t="s">
        <v>1903</v>
      </c>
      <c r="G482" t="s">
        <v>1904</v>
      </c>
      <c r="H482" s="1">
        <v>1256.8599999999999</v>
      </c>
      <c r="I482" s="2">
        <v>43984.333333333336</v>
      </c>
      <c r="J482" s="2">
        <v>43984.833333333336</v>
      </c>
      <c r="K482" t="s">
        <v>1905</v>
      </c>
    </row>
    <row r="483" spans="1:11" x14ac:dyDescent="0.25">
      <c r="A483" t="s">
        <v>11</v>
      </c>
      <c r="B483" t="s">
        <v>284</v>
      </c>
      <c r="C483" t="str">
        <f>"2019-30211"</f>
        <v>2019-30211</v>
      </c>
      <c r="D483" t="s">
        <v>189</v>
      </c>
      <c r="E483" t="s">
        <v>190</v>
      </c>
      <c r="F483" t="s">
        <v>80</v>
      </c>
      <c r="G483" t="s">
        <v>191</v>
      </c>
      <c r="H483" s="1">
        <v>1285.76</v>
      </c>
      <c r="I483" s="2">
        <v>43984.333333333336</v>
      </c>
      <c r="J483" s="2">
        <v>43984.833333333336</v>
      </c>
      <c r="K483" t="s">
        <v>1906</v>
      </c>
    </row>
    <row r="484" spans="1:11" x14ac:dyDescent="0.25">
      <c r="A484" t="s">
        <v>11</v>
      </c>
      <c r="B484" t="s">
        <v>284</v>
      </c>
      <c r="C484" t="str">
        <f>"2019-52773"</f>
        <v>2019-52773</v>
      </c>
      <c r="D484" t="s">
        <v>1907</v>
      </c>
      <c r="E484" t="s">
        <v>1908</v>
      </c>
      <c r="F484" t="s">
        <v>985</v>
      </c>
      <c r="G484" t="s">
        <v>986</v>
      </c>
      <c r="H484" s="1">
        <v>1311.61</v>
      </c>
      <c r="I484" s="2">
        <v>43984.333333333336</v>
      </c>
      <c r="J484" s="2">
        <v>43984.833333333336</v>
      </c>
      <c r="K484" t="s">
        <v>1909</v>
      </c>
    </row>
    <row r="485" spans="1:11" x14ac:dyDescent="0.25">
      <c r="A485" t="s">
        <v>11</v>
      </c>
      <c r="B485" t="s">
        <v>12</v>
      </c>
      <c r="C485" t="str">
        <f>"0504903775"</f>
        <v>0504903775</v>
      </c>
      <c r="D485" t="s">
        <v>1910</v>
      </c>
      <c r="E485" t="s">
        <v>1911</v>
      </c>
      <c r="F485" t="s">
        <v>1912</v>
      </c>
      <c r="G485" t="s">
        <v>1913</v>
      </c>
      <c r="H485" s="1">
        <v>1318.36</v>
      </c>
      <c r="I485" s="2">
        <v>43984.333333333336</v>
      </c>
      <c r="J485" s="2">
        <v>43984.833333333336</v>
      </c>
      <c r="K485" t="s">
        <v>1914</v>
      </c>
    </row>
    <row r="486" spans="1:11" x14ac:dyDescent="0.25">
      <c r="A486" t="s">
        <v>11</v>
      </c>
      <c r="B486" t="s">
        <v>284</v>
      </c>
      <c r="C486" t="str">
        <f>"2019-21467"</f>
        <v>2019-21467</v>
      </c>
      <c r="D486" t="s">
        <v>1915</v>
      </c>
      <c r="E486" t="s">
        <v>1916</v>
      </c>
      <c r="F486" t="s">
        <v>673</v>
      </c>
      <c r="G486" t="s">
        <v>674</v>
      </c>
      <c r="H486" s="1">
        <v>1328.13</v>
      </c>
      <c r="I486" s="2">
        <v>43984.333333333336</v>
      </c>
      <c r="J486" s="2">
        <v>43984.833333333336</v>
      </c>
      <c r="K486" t="s">
        <v>1917</v>
      </c>
    </row>
    <row r="487" spans="1:11" x14ac:dyDescent="0.25">
      <c r="A487" t="s">
        <v>11</v>
      </c>
      <c r="B487" t="s">
        <v>284</v>
      </c>
      <c r="C487" t="str">
        <f>"2019-80068"</f>
        <v>2019-80068</v>
      </c>
      <c r="D487" t="s">
        <v>1547</v>
      </c>
      <c r="E487" t="s">
        <v>1548</v>
      </c>
      <c r="F487" t="s">
        <v>1549</v>
      </c>
      <c r="G487" t="s">
        <v>1918</v>
      </c>
      <c r="H487" s="1">
        <v>1336.54</v>
      </c>
      <c r="I487" s="2">
        <v>43984.333333333336</v>
      </c>
      <c r="J487" s="2">
        <v>43984.833333333336</v>
      </c>
      <c r="K487" t="s">
        <v>1919</v>
      </c>
    </row>
    <row r="488" spans="1:11" x14ac:dyDescent="0.25">
      <c r="A488" t="s">
        <v>11</v>
      </c>
      <c r="B488" t="s">
        <v>284</v>
      </c>
      <c r="C488" t="str">
        <f>"2019-45738"</f>
        <v>2019-45738</v>
      </c>
      <c r="D488" t="s">
        <v>1920</v>
      </c>
      <c r="E488" t="s">
        <v>1921</v>
      </c>
      <c r="F488" t="s">
        <v>1922</v>
      </c>
      <c r="G488" t="s">
        <v>1923</v>
      </c>
      <c r="H488" s="1">
        <v>1339.81</v>
      </c>
      <c r="I488" s="2">
        <v>43984.333333333336</v>
      </c>
      <c r="J488" s="2">
        <v>43984.833333333336</v>
      </c>
      <c r="K488" t="s">
        <v>1924</v>
      </c>
    </row>
    <row r="489" spans="1:11" x14ac:dyDescent="0.25">
      <c r="A489" t="s">
        <v>11</v>
      </c>
      <c r="B489" t="s">
        <v>284</v>
      </c>
      <c r="C489" t="str">
        <f>"2019-83871"</f>
        <v>2019-83871</v>
      </c>
      <c r="D489" t="s">
        <v>1925</v>
      </c>
      <c r="E489" t="s">
        <v>1926</v>
      </c>
      <c r="F489" t="s">
        <v>1927</v>
      </c>
      <c r="G489" t="s">
        <v>1928</v>
      </c>
      <c r="H489" s="1">
        <v>1345.78</v>
      </c>
      <c r="I489" s="2">
        <v>43984.333333333336</v>
      </c>
      <c r="J489" s="2">
        <v>43984.833333333336</v>
      </c>
      <c r="K489" t="s">
        <v>1929</v>
      </c>
    </row>
    <row r="490" spans="1:11" x14ac:dyDescent="0.25">
      <c r="A490" t="s">
        <v>11</v>
      </c>
      <c r="B490" t="s">
        <v>284</v>
      </c>
      <c r="C490" t="str">
        <f>"2019-74186"</f>
        <v>2019-74186</v>
      </c>
      <c r="D490" t="s">
        <v>1930</v>
      </c>
      <c r="E490" t="s">
        <v>1931</v>
      </c>
      <c r="F490" t="s">
        <v>100</v>
      </c>
      <c r="G490" t="s">
        <v>101</v>
      </c>
      <c r="H490" s="1">
        <v>1352.24</v>
      </c>
      <c r="I490" s="2">
        <v>43984.333333333336</v>
      </c>
      <c r="J490" s="2">
        <v>43984.833333333336</v>
      </c>
      <c r="K490" t="s">
        <v>1932</v>
      </c>
    </row>
    <row r="491" spans="1:11" x14ac:dyDescent="0.25">
      <c r="A491" t="s">
        <v>11</v>
      </c>
      <c r="B491" t="s">
        <v>12</v>
      </c>
      <c r="C491" t="str">
        <f>"0502300500"</f>
        <v>0502300500</v>
      </c>
      <c r="D491" t="s">
        <v>1933</v>
      </c>
      <c r="E491" t="s">
        <v>1934</v>
      </c>
      <c r="F491" t="s">
        <v>1935</v>
      </c>
      <c r="G491" t="s">
        <v>1936</v>
      </c>
      <c r="H491" s="1">
        <v>1354.03</v>
      </c>
      <c r="I491" s="2">
        <v>43984.333333333336</v>
      </c>
      <c r="J491" s="2">
        <v>43984.833333333336</v>
      </c>
      <c r="K491" t="s">
        <v>1937</v>
      </c>
    </row>
    <row r="492" spans="1:11" x14ac:dyDescent="0.25">
      <c r="A492" t="s">
        <v>11</v>
      </c>
      <c r="B492" t="s">
        <v>284</v>
      </c>
      <c r="C492" t="str">
        <f>"2019-18488"</f>
        <v>2019-18488</v>
      </c>
      <c r="D492" t="s">
        <v>1938</v>
      </c>
      <c r="E492" t="s">
        <v>1939</v>
      </c>
      <c r="F492" t="s">
        <v>1701</v>
      </c>
      <c r="G492" t="s">
        <v>1702</v>
      </c>
      <c r="H492" s="1">
        <v>1360.08</v>
      </c>
      <c r="I492" s="2">
        <v>43984.333333333336</v>
      </c>
      <c r="J492" s="2">
        <v>43984.833333333336</v>
      </c>
      <c r="K492" t="s">
        <v>1940</v>
      </c>
    </row>
    <row r="493" spans="1:11" x14ac:dyDescent="0.25">
      <c r="A493" t="s">
        <v>11</v>
      </c>
      <c r="B493" t="s">
        <v>284</v>
      </c>
      <c r="C493" t="str">
        <f>"2019-84686"</f>
        <v>2019-84686</v>
      </c>
      <c r="D493" t="s">
        <v>198</v>
      </c>
      <c r="E493" t="s">
        <v>199</v>
      </c>
      <c r="F493" t="s">
        <v>80</v>
      </c>
      <c r="G493" t="s">
        <v>200</v>
      </c>
      <c r="H493" s="1">
        <v>1390.86</v>
      </c>
      <c r="I493" s="2">
        <v>43984.333333333336</v>
      </c>
      <c r="J493" s="2">
        <v>43984.833333333336</v>
      </c>
      <c r="K493" t="s">
        <v>1941</v>
      </c>
    </row>
    <row r="494" spans="1:11" x14ac:dyDescent="0.25">
      <c r="A494" t="s">
        <v>11</v>
      </c>
      <c r="B494" t="s">
        <v>284</v>
      </c>
      <c r="C494" t="str">
        <f>"2019-85946"</f>
        <v>2019-85946</v>
      </c>
      <c r="D494" t="s">
        <v>1942</v>
      </c>
      <c r="E494" t="s">
        <v>1569</v>
      </c>
      <c r="F494" t="s">
        <v>320</v>
      </c>
      <c r="G494" t="s">
        <v>321</v>
      </c>
      <c r="H494" s="1">
        <v>1392.71</v>
      </c>
      <c r="I494" s="2">
        <v>43984.333333333336</v>
      </c>
      <c r="J494" s="2">
        <v>43984.833333333336</v>
      </c>
      <c r="K494" t="s">
        <v>1943</v>
      </c>
    </row>
    <row r="495" spans="1:11" x14ac:dyDescent="0.25">
      <c r="A495" t="s">
        <v>11</v>
      </c>
      <c r="B495" t="s">
        <v>284</v>
      </c>
      <c r="C495" t="str">
        <f>"2019-59778"</f>
        <v>2019-59778</v>
      </c>
      <c r="D495" t="s">
        <v>202</v>
      </c>
      <c r="E495" t="s">
        <v>203</v>
      </c>
      <c r="F495" t="s">
        <v>153</v>
      </c>
      <c r="G495" t="s">
        <v>26</v>
      </c>
      <c r="H495" s="1">
        <v>1396.95</v>
      </c>
      <c r="I495" s="2">
        <v>43984.333333333336</v>
      </c>
      <c r="J495" s="2">
        <v>43984.833333333336</v>
      </c>
      <c r="K495" t="s">
        <v>1944</v>
      </c>
    </row>
    <row r="496" spans="1:11" x14ac:dyDescent="0.25">
      <c r="A496" t="s">
        <v>11</v>
      </c>
      <c r="B496" t="s">
        <v>284</v>
      </c>
      <c r="C496" t="str">
        <f>"2019-24903"</f>
        <v>2019-24903</v>
      </c>
      <c r="D496" t="s">
        <v>1945</v>
      </c>
      <c r="E496" t="s">
        <v>1946</v>
      </c>
      <c r="F496" t="s">
        <v>1883</v>
      </c>
      <c r="G496" t="s">
        <v>1884</v>
      </c>
      <c r="H496" s="1">
        <v>1418.68</v>
      </c>
      <c r="I496" s="2">
        <v>43984.333333333336</v>
      </c>
      <c r="J496" s="2">
        <v>43984.833333333336</v>
      </c>
      <c r="K496" t="s">
        <v>1947</v>
      </c>
    </row>
    <row r="497" spans="1:11" x14ac:dyDescent="0.25">
      <c r="A497" t="s">
        <v>11</v>
      </c>
      <c r="B497" t="s">
        <v>284</v>
      </c>
      <c r="C497" t="str">
        <f>"2019-32380"</f>
        <v>2019-32380</v>
      </c>
      <c r="D497" t="s">
        <v>1948</v>
      </c>
      <c r="E497" t="s">
        <v>1949</v>
      </c>
      <c r="F497" t="s">
        <v>1950</v>
      </c>
      <c r="G497" t="s">
        <v>1712</v>
      </c>
      <c r="H497" s="1">
        <v>1424.86</v>
      </c>
      <c r="I497" s="2">
        <v>43984.333333333336</v>
      </c>
      <c r="J497" s="2">
        <v>43984.833333333336</v>
      </c>
      <c r="K497" t="s">
        <v>1951</v>
      </c>
    </row>
    <row r="498" spans="1:11" x14ac:dyDescent="0.25">
      <c r="A498" t="s">
        <v>11</v>
      </c>
      <c r="B498" t="s">
        <v>284</v>
      </c>
      <c r="C498" t="str">
        <f>"2019-27433"</f>
        <v>2019-27433</v>
      </c>
      <c r="D498" t="s">
        <v>1952</v>
      </c>
      <c r="E498" t="s">
        <v>1953</v>
      </c>
      <c r="F498" t="s">
        <v>1954</v>
      </c>
      <c r="G498" t="s">
        <v>1955</v>
      </c>
      <c r="H498" s="1">
        <v>1427.11</v>
      </c>
      <c r="I498" s="2">
        <v>43984.333333333336</v>
      </c>
      <c r="J498" s="2">
        <v>43984.833333333336</v>
      </c>
      <c r="K498" t="s">
        <v>1956</v>
      </c>
    </row>
    <row r="499" spans="1:11" x14ac:dyDescent="0.25">
      <c r="A499" t="s">
        <v>11</v>
      </c>
      <c r="B499" t="s">
        <v>284</v>
      </c>
      <c r="C499" t="str">
        <f>"2019-73122"</f>
        <v>2019-73122</v>
      </c>
      <c r="D499" t="s">
        <v>1957</v>
      </c>
      <c r="E499" t="s">
        <v>1958</v>
      </c>
      <c r="F499" t="s">
        <v>980</v>
      </c>
      <c r="G499" t="s">
        <v>981</v>
      </c>
      <c r="H499" s="1">
        <v>1431.41</v>
      </c>
      <c r="I499" s="2">
        <v>43984.333333333336</v>
      </c>
      <c r="J499" s="2">
        <v>43984.833333333336</v>
      </c>
      <c r="K499" t="s">
        <v>1959</v>
      </c>
    </row>
    <row r="500" spans="1:11" x14ac:dyDescent="0.25">
      <c r="A500" t="s">
        <v>11</v>
      </c>
      <c r="B500" t="s">
        <v>284</v>
      </c>
      <c r="C500" t="str">
        <f>"2019-35349"</f>
        <v>2019-35349</v>
      </c>
      <c r="D500" t="s">
        <v>1960</v>
      </c>
      <c r="E500" t="s">
        <v>1961</v>
      </c>
      <c r="F500" t="s">
        <v>1962</v>
      </c>
      <c r="G500" t="s">
        <v>1963</v>
      </c>
      <c r="H500" s="1">
        <v>1472.13</v>
      </c>
      <c r="I500" s="2">
        <v>43984.333333333336</v>
      </c>
      <c r="J500" s="2">
        <v>43984.833333333336</v>
      </c>
      <c r="K500" t="s">
        <v>1964</v>
      </c>
    </row>
    <row r="501" spans="1:11" x14ac:dyDescent="0.25">
      <c r="A501" t="s">
        <v>11</v>
      </c>
      <c r="B501" t="s">
        <v>284</v>
      </c>
      <c r="C501" t="str">
        <f>"2019-13198"</f>
        <v>2019-13198</v>
      </c>
      <c r="D501" t="s">
        <v>1965</v>
      </c>
      <c r="E501" t="s">
        <v>1966</v>
      </c>
      <c r="F501" t="s">
        <v>1967</v>
      </c>
      <c r="G501" t="s">
        <v>1968</v>
      </c>
      <c r="H501" s="1">
        <v>1526.23</v>
      </c>
      <c r="I501" s="2">
        <v>43984.333333333336</v>
      </c>
      <c r="J501" s="2">
        <v>43984.833333333336</v>
      </c>
      <c r="K501" t="s">
        <v>1969</v>
      </c>
    </row>
    <row r="502" spans="1:11" x14ac:dyDescent="0.25">
      <c r="A502" t="s">
        <v>11</v>
      </c>
      <c r="B502" t="s">
        <v>284</v>
      </c>
      <c r="C502" t="str">
        <f>"2019-33160"</f>
        <v>2019-33160</v>
      </c>
      <c r="D502" t="s">
        <v>1970</v>
      </c>
      <c r="E502" t="s">
        <v>1971</v>
      </c>
      <c r="F502" t="s">
        <v>1972</v>
      </c>
      <c r="G502" t="s">
        <v>1973</v>
      </c>
      <c r="H502" s="1">
        <v>1536.4</v>
      </c>
      <c r="I502" s="2">
        <v>43984.333333333336</v>
      </c>
      <c r="J502" s="2">
        <v>43984.833333333336</v>
      </c>
      <c r="K502" t="s">
        <v>1974</v>
      </c>
    </row>
    <row r="503" spans="1:11" x14ac:dyDescent="0.25">
      <c r="A503" t="s">
        <v>11</v>
      </c>
      <c r="B503" t="s">
        <v>284</v>
      </c>
      <c r="C503" t="str">
        <f>"2019-35083"</f>
        <v>2019-35083</v>
      </c>
      <c r="D503" t="s">
        <v>1975</v>
      </c>
      <c r="E503" t="s">
        <v>1976</v>
      </c>
      <c r="F503" t="s">
        <v>1977</v>
      </c>
      <c r="G503" t="s">
        <v>1978</v>
      </c>
      <c r="H503" s="1">
        <v>1562.85</v>
      </c>
      <c r="I503" s="2">
        <v>43984.333333333336</v>
      </c>
      <c r="J503" s="2">
        <v>43984.833333333336</v>
      </c>
      <c r="K503" t="s">
        <v>1979</v>
      </c>
    </row>
    <row r="504" spans="1:11" x14ac:dyDescent="0.25">
      <c r="A504" t="s">
        <v>11</v>
      </c>
      <c r="B504" t="s">
        <v>284</v>
      </c>
      <c r="C504" t="str">
        <f>"2019-20183"</f>
        <v>2019-20183</v>
      </c>
      <c r="D504" t="s">
        <v>1980</v>
      </c>
      <c r="E504" t="s">
        <v>1981</v>
      </c>
      <c r="F504" t="s">
        <v>1982</v>
      </c>
      <c r="G504" t="s">
        <v>1983</v>
      </c>
      <c r="H504" s="1">
        <v>1570.8</v>
      </c>
      <c r="I504" s="2">
        <v>43984.333333333336</v>
      </c>
      <c r="J504" s="2">
        <v>43984.833333333336</v>
      </c>
      <c r="K504" t="s">
        <v>1984</v>
      </c>
    </row>
    <row r="505" spans="1:11" x14ac:dyDescent="0.25">
      <c r="A505" t="s">
        <v>11</v>
      </c>
      <c r="B505" t="s">
        <v>284</v>
      </c>
      <c r="C505" t="str">
        <f>"2019-22067"</f>
        <v>2019-22067</v>
      </c>
      <c r="D505" t="s">
        <v>1985</v>
      </c>
      <c r="E505" t="s">
        <v>1986</v>
      </c>
      <c r="F505" t="s">
        <v>1987</v>
      </c>
      <c r="G505" t="s">
        <v>1988</v>
      </c>
      <c r="H505" s="1">
        <v>1612.87</v>
      </c>
      <c r="I505" s="2">
        <v>43984.333333333336</v>
      </c>
      <c r="J505" s="2">
        <v>43984.833333333336</v>
      </c>
      <c r="K505" t="s">
        <v>1989</v>
      </c>
    </row>
    <row r="506" spans="1:11" x14ac:dyDescent="0.25">
      <c r="A506" t="s">
        <v>11</v>
      </c>
      <c r="B506" t="s">
        <v>284</v>
      </c>
      <c r="C506" t="str">
        <f>"2019-82466"</f>
        <v>2019-82466</v>
      </c>
      <c r="D506" t="s">
        <v>1990</v>
      </c>
      <c r="E506" t="s">
        <v>1991</v>
      </c>
      <c r="F506" t="s">
        <v>1992</v>
      </c>
      <c r="G506" t="s">
        <v>1993</v>
      </c>
      <c r="H506" s="1">
        <v>1713.5</v>
      </c>
      <c r="I506" s="2">
        <v>43984.333333333336</v>
      </c>
      <c r="J506" s="2">
        <v>43984.833333333336</v>
      </c>
      <c r="K506" t="s">
        <v>1994</v>
      </c>
    </row>
    <row r="507" spans="1:11" x14ac:dyDescent="0.25">
      <c r="A507" t="s">
        <v>11</v>
      </c>
      <c r="B507" t="s">
        <v>284</v>
      </c>
      <c r="C507" t="str">
        <f>"2019-65474"</f>
        <v>2019-65474</v>
      </c>
      <c r="D507" t="s">
        <v>1995</v>
      </c>
      <c r="E507" t="s">
        <v>1684</v>
      </c>
      <c r="F507" t="s">
        <v>1685</v>
      </c>
      <c r="G507" t="s">
        <v>1686</v>
      </c>
      <c r="H507" s="1">
        <v>1747.17</v>
      </c>
      <c r="I507" s="2">
        <v>43984.333333333336</v>
      </c>
      <c r="J507" s="2">
        <v>43984.833333333336</v>
      </c>
      <c r="K507" t="s">
        <v>1996</v>
      </c>
    </row>
    <row r="508" spans="1:11" x14ac:dyDescent="0.25">
      <c r="A508" t="s">
        <v>11</v>
      </c>
      <c r="B508" t="s">
        <v>284</v>
      </c>
      <c r="C508" t="str">
        <f>"2019-72733"</f>
        <v>2019-72733</v>
      </c>
      <c r="D508" t="s">
        <v>1997</v>
      </c>
      <c r="E508" t="s">
        <v>1998</v>
      </c>
      <c r="F508" t="s">
        <v>1191</v>
      </c>
      <c r="G508" t="s">
        <v>1780</v>
      </c>
      <c r="H508" s="1">
        <v>1762.9</v>
      </c>
      <c r="I508" s="2">
        <v>43984.333333333336</v>
      </c>
      <c r="J508" s="2">
        <v>43984.833333333336</v>
      </c>
      <c r="K508" t="s">
        <v>1999</v>
      </c>
    </row>
    <row r="509" spans="1:11" x14ac:dyDescent="0.25">
      <c r="A509" t="s">
        <v>11</v>
      </c>
      <c r="B509" t="s">
        <v>284</v>
      </c>
      <c r="C509" t="str">
        <f>"2019-43585"</f>
        <v>2019-43585</v>
      </c>
      <c r="D509" t="s">
        <v>1714</v>
      </c>
      <c r="E509" t="s">
        <v>1715</v>
      </c>
      <c r="F509" t="s">
        <v>1716</v>
      </c>
      <c r="G509" t="s">
        <v>1717</v>
      </c>
      <c r="H509" s="1">
        <v>1797.82</v>
      </c>
      <c r="I509" s="2">
        <v>43984.333333333336</v>
      </c>
      <c r="J509" s="2">
        <v>43984.833333333336</v>
      </c>
      <c r="K509" t="s">
        <v>2000</v>
      </c>
    </row>
    <row r="510" spans="1:11" x14ac:dyDescent="0.25">
      <c r="A510" t="s">
        <v>11</v>
      </c>
      <c r="B510" t="s">
        <v>284</v>
      </c>
      <c r="C510" t="str">
        <f>"2019-70078"</f>
        <v>2019-70078</v>
      </c>
      <c r="D510" t="s">
        <v>2001</v>
      </c>
      <c r="E510" t="s">
        <v>2002</v>
      </c>
      <c r="F510" t="s">
        <v>2003</v>
      </c>
      <c r="G510" t="s">
        <v>2004</v>
      </c>
      <c r="H510" s="1">
        <v>1816.99</v>
      </c>
      <c r="I510" s="2">
        <v>43984.333333333336</v>
      </c>
      <c r="J510" s="2">
        <v>43984.833333333336</v>
      </c>
      <c r="K510" t="s">
        <v>2005</v>
      </c>
    </row>
    <row r="511" spans="1:11" x14ac:dyDescent="0.25">
      <c r="A511" t="s">
        <v>11</v>
      </c>
      <c r="B511" t="s">
        <v>284</v>
      </c>
      <c r="C511" t="str">
        <f>"2019-35152"</f>
        <v>2019-35152</v>
      </c>
      <c r="D511" t="s">
        <v>2006</v>
      </c>
      <c r="E511" t="s">
        <v>235</v>
      </c>
      <c r="F511" t="s">
        <v>236</v>
      </c>
      <c r="G511" t="s">
        <v>237</v>
      </c>
      <c r="H511" s="1">
        <v>1833.58</v>
      </c>
      <c r="I511" s="2">
        <v>43984.333333333336</v>
      </c>
      <c r="J511" s="2">
        <v>43984.833333333336</v>
      </c>
      <c r="K511" t="s">
        <v>2007</v>
      </c>
    </row>
    <row r="512" spans="1:11" x14ac:dyDescent="0.25">
      <c r="A512" t="s">
        <v>11</v>
      </c>
      <c r="B512" t="s">
        <v>284</v>
      </c>
      <c r="C512" t="str">
        <f>"2019-12131"</f>
        <v>2019-12131</v>
      </c>
      <c r="D512" t="s">
        <v>249</v>
      </c>
      <c r="E512" t="s">
        <v>250</v>
      </c>
      <c r="F512" t="s">
        <v>251</v>
      </c>
      <c r="G512" t="s">
        <v>252</v>
      </c>
      <c r="H512" s="1">
        <v>1857.95</v>
      </c>
      <c r="I512" s="2">
        <v>43984.333333333336</v>
      </c>
      <c r="J512" s="2">
        <v>43984.833333333336</v>
      </c>
      <c r="K512" t="s">
        <v>2008</v>
      </c>
    </row>
    <row r="513" spans="1:11" x14ac:dyDescent="0.25">
      <c r="A513" t="s">
        <v>11</v>
      </c>
      <c r="B513" t="s">
        <v>284</v>
      </c>
      <c r="C513" t="str">
        <f>"2019-13886"</f>
        <v>2019-13886</v>
      </c>
      <c r="D513" t="s">
        <v>1910</v>
      </c>
      <c r="E513" t="s">
        <v>1911</v>
      </c>
      <c r="F513" t="s">
        <v>1912</v>
      </c>
      <c r="G513" t="s">
        <v>1913</v>
      </c>
      <c r="H513" s="1">
        <v>1862.42</v>
      </c>
      <c r="I513" s="2">
        <v>43984.333333333336</v>
      </c>
      <c r="J513" s="2">
        <v>43984.833333333336</v>
      </c>
      <c r="K513" t="s">
        <v>2009</v>
      </c>
    </row>
    <row r="514" spans="1:11" x14ac:dyDescent="0.25">
      <c r="A514" t="s">
        <v>11</v>
      </c>
      <c r="B514" t="s">
        <v>284</v>
      </c>
      <c r="C514" t="str">
        <f>"2019-29989"</f>
        <v>2019-29989</v>
      </c>
      <c r="D514" t="s">
        <v>239</v>
      </c>
      <c r="E514" t="s">
        <v>240</v>
      </c>
      <c r="F514" t="s">
        <v>2010</v>
      </c>
      <c r="G514" t="s">
        <v>242</v>
      </c>
      <c r="H514" s="1">
        <v>1984.16</v>
      </c>
      <c r="I514" s="2">
        <v>43984.333333333336</v>
      </c>
      <c r="J514" s="2">
        <v>43984.833333333336</v>
      </c>
      <c r="K514" t="s">
        <v>2011</v>
      </c>
    </row>
    <row r="515" spans="1:11" x14ac:dyDescent="0.25">
      <c r="A515" t="s">
        <v>11</v>
      </c>
      <c r="B515" t="s">
        <v>284</v>
      </c>
      <c r="C515" t="str">
        <f>"2019-65342"</f>
        <v>2019-65342</v>
      </c>
      <c r="D515" t="s">
        <v>2012</v>
      </c>
      <c r="E515" t="s">
        <v>2013</v>
      </c>
      <c r="F515" t="s">
        <v>2014</v>
      </c>
      <c r="G515" t="s">
        <v>2015</v>
      </c>
      <c r="H515" s="1">
        <v>1984.3</v>
      </c>
      <c r="I515" s="2">
        <v>43984.333333333336</v>
      </c>
      <c r="J515" s="2">
        <v>43984.833333333336</v>
      </c>
      <c r="K515" t="s">
        <v>2016</v>
      </c>
    </row>
    <row r="516" spans="1:11" x14ac:dyDescent="0.25">
      <c r="A516" t="s">
        <v>11</v>
      </c>
      <c r="B516" t="s">
        <v>284</v>
      </c>
      <c r="C516" t="str">
        <f>"2019-46886"</f>
        <v>2019-46886</v>
      </c>
      <c r="D516" t="s">
        <v>2017</v>
      </c>
      <c r="E516" t="s">
        <v>2018</v>
      </c>
      <c r="F516" t="s">
        <v>2019</v>
      </c>
      <c r="G516" t="s">
        <v>1884</v>
      </c>
      <c r="H516" s="1">
        <v>2035.37</v>
      </c>
      <c r="I516" s="2">
        <v>43984.333333333336</v>
      </c>
      <c r="J516" s="2">
        <v>43984.833333333336</v>
      </c>
      <c r="K516" t="s">
        <v>2020</v>
      </c>
    </row>
    <row r="517" spans="1:11" x14ac:dyDescent="0.25">
      <c r="A517" t="s">
        <v>11</v>
      </c>
      <c r="B517" t="s">
        <v>284</v>
      </c>
      <c r="C517" t="str">
        <f>"2019-29238"</f>
        <v>2019-29238</v>
      </c>
      <c r="D517" t="s">
        <v>2021</v>
      </c>
      <c r="E517" t="s">
        <v>2022</v>
      </c>
      <c r="F517" t="s">
        <v>1883</v>
      </c>
      <c r="G517" t="s">
        <v>1884</v>
      </c>
      <c r="H517" s="1">
        <v>2156.29</v>
      </c>
      <c r="I517" s="2">
        <v>43984.333333333336</v>
      </c>
      <c r="J517" s="2">
        <v>43984.833333333336</v>
      </c>
      <c r="K517" t="s">
        <v>2023</v>
      </c>
    </row>
    <row r="518" spans="1:11" x14ac:dyDescent="0.25">
      <c r="A518" t="s">
        <v>11</v>
      </c>
      <c r="B518" t="s">
        <v>284</v>
      </c>
      <c r="C518" t="str">
        <f>"2019-65195"</f>
        <v>2019-65195</v>
      </c>
      <c r="D518" t="s">
        <v>2024</v>
      </c>
      <c r="E518" t="s">
        <v>2025</v>
      </c>
      <c r="F518" t="s">
        <v>2026</v>
      </c>
      <c r="G518" t="s">
        <v>2027</v>
      </c>
      <c r="H518" s="1">
        <v>2222.34</v>
      </c>
      <c r="I518" s="2">
        <v>43984.333333333336</v>
      </c>
      <c r="J518" s="2">
        <v>43984.833333333336</v>
      </c>
      <c r="K518" t="s">
        <v>2028</v>
      </c>
    </row>
    <row r="519" spans="1:11" x14ac:dyDescent="0.25">
      <c r="A519" t="s">
        <v>11</v>
      </c>
      <c r="B519" t="s">
        <v>284</v>
      </c>
      <c r="C519" t="str">
        <f>"2019-63721"</f>
        <v>2019-63721</v>
      </c>
      <c r="D519" t="s">
        <v>2029</v>
      </c>
      <c r="E519" t="s">
        <v>2030</v>
      </c>
      <c r="F519" t="s">
        <v>2031</v>
      </c>
      <c r="G519" t="s">
        <v>2032</v>
      </c>
      <c r="H519" s="1">
        <v>2232.96</v>
      </c>
      <c r="I519" s="2">
        <v>43984.333333333336</v>
      </c>
      <c r="J519" s="2">
        <v>43984.833333333336</v>
      </c>
      <c r="K519" t="s">
        <v>2033</v>
      </c>
    </row>
    <row r="520" spans="1:11" x14ac:dyDescent="0.25">
      <c r="A520" t="s">
        <v>11</v>
      </c>
      <c r="B520" t="s">
        <v>284</v>
      </c>
      <c r="C520" t="str">
        <f>"2019-14346"</f>
        <v>2019-14346</v>
      </c>
      <c r="D520" t="s">
        <v>2034</v>
      </c>
      <c r="E520" t="s">
        <v>2035</v>
      </c>
      <c r="F520" t="s">
        <v>2036</v>
      </c>
      <c r="G520" t="s">
        <v>2037</v>
      </c>
      <c r="H520" s="1">
        <v>2267.3200000000002</v>
      </c>
      <c r="I520" s="2">
        <v>43984.333333333336</v>
      </c>
      <c r="J520" s="2">
        <v>43984.833333333336</v>
      </c>
      <c r="K520" t="s">
        <v>2038</v>
      </c>
    </row>
    <row r="521" spans="1:11" x14ac:dyDescent="0.25">
      <c r="A521" t="s">
        <v>11</v>
      </c>
      <c r="B521" t="s">
        <v>284</v>
      </c>
      <c r="C521" t="str">
        <f>"2019-69217"</f>
        <v>2019-69217</v>
      </c>
      <c r="D521" t="s">
        <v>2039</v>
      </c>
      <c r="E521" t="s">
        <v>2040</v>
      </c>
      <c r="F521" t="s">
        <v>1883</v>
      </c>
      <c r="G521" t="s">
        <v>1884</v>
      </c>
      <c r="H521" s="1">
        <v>2361.25</v>
      </c>
      <c r="I521" s="2">
        <v>43984.333333333336</v>
      </c>
      <c r="J521" s="2">
        <v>43984.833333333336</v>
      </c>
      <c r="K521" t="s">
        <v>2041</v>
      </c>
    </row>
    <row r="522" spans="1:11" x14ac:dyDescent="0.25">
      <c r="A522" t="s">
        <v>11</v>
      </c>
      <c r="B522" t="s">
        <v>284</v>
      </c>
      <c r="C522" t="str">
        <f>"2019-63312"</f>
        <v>2019-63312</v>
      </c>
      <c r="D522" t="s">
        <v>2042</v>
      </c>
      <c r="E522" t="s">
        <v>2043</v>
      </c>
      <c r="F522" t="s">
        <v>2044</v>
      </c>
      <c r="G522" t="s">
        <v>2045</v>
      </c>
      <c r="H522" s="1">
        <v>2607.89</v>
      </c>
      <c r="I522" s="2">
        <v>43984.333333333336</v>
      </c>
      <c r="J522" s="2">
        <v>43984.833333333336</v>
      </c>
      <c r="K522" t="s">
        <v>2046</v>
      </c>
    </row>
    <row r="523" spans="1:11" x14ac:dyDescent="0.25">
      <c r="A523" t="s">
        <v>11</v>
      </c>
      <c r="B523" t="s">
        <v>284</v>
      </c>
      <c r="C523" t="str">
        <f>"2019-46575"</f>
        <v>2019-46575</v>
      </c>
      <c r="D523" t="s">
        <v>2047</v>
      </c>
      <c r="E523" t="s">
        <v>260</v>
      </c>
      <c r="F523" t="s">
        <v>261</v>
      </c>
      <c r="G523" t="s">
        <v>262</v>
      </c>
      <c r="H523" s="1">
        <v>2853.67</v>
      </c>
      <c r="I523" s="2">
        <v>43984.333333333336</v>
      </c>
      <c r="J523" s="2">
        <v>43984.833333333336</v>
      </c>
      <c r="K523" t="s">
        <v>2048</v>
      </c>
    </row>
    <row r="524" spans="1:11" x14ac:dyDescent="0.25">
      <c r="A524" t="s">
        <v>11</v>
      </c>
      <c r="B524" t="s">
        <v>284</v>
      </c>
      <c r="C524" t="str">
        <f>"2019-81381"</f>
        <v>2019-81381</v>
      </c>
      <c r="D524" t="s">
        <v>2049</v>
      </c>
      <c r="E524" t="s">
        <v>2050</v>
      </c>
      <c r="F524" t="s">
        <v>2051</v>
      </c>
      <c r="G524" t="s">
        <v>2052</v>
      </c>
      <c r="H524" s="1">
        <v>3028.25</v>
      </c>
      <c r="I524" s="2">
        <v>43984.333333333336</v>
      </c>
      <c r="J524" s="2">
        <v>43984.833333333336</v>
      </c>
      <c r="K524" t="s">
        <v>2053</v>
      </c>
    </row>
    <row r="525" spans="1:11" x14ac:dyDescent="0.25">
      <c r="A525" t="s">
        <v>11</v>
      </c>
      <c r="B525" t="s">
        <v>284</v>
      </c>
      <c r="C525" t="str">
        <f>"2019-50144"</f>
        <v>2019-50144</v>
      </c>
      <c r="D525" t="s">
        <v>2054</v>
      </c>
      <c r="E525" t="s">
        <v>2055</v>
      </c>
      <c r="F525" t="s">
        <v>2056</v>
      </c>
      <c r="G525" t="s">
        <v>2057</v>
      </c>
      <c r="H525" s="1">
        <v>3228.33</v>
      </c>
      <c r="I525" s="2">
        <v>43984.333333333336</v>
      </c>
      <c r="J525" s="2">
        <v>43984.833333333336</v>
      </c>
      <c r="K525" t="s">
        <v>2058</v>
      </c>
    </row>
    <row r="526" spans="1:11" x14ac:dyDescent="0.25">
      <c r="A526" t="s">
        <v>11</v>
      </c>
      <c r="B526" t="s">
        <v>284</v>
      </c>
      <c r="C526" t="str">
        <f>"2019-53445"</f>
        <v>2019-53445</v>
      </c>
      <c r="D526" t="s">
        <v>2059</v>
      </c>
      <c r="E526" t="s">
        <v>2060</v>
      </c>
      <c r="F526" t="s">
        <v>2061</v>
      </c>
      <c r="G526" t="s">
        <v>2062</v>
      </c>
      <c r="H526" s="1">
        <v>3234.93</v>
      </c>
      <c r="I526" s="2">
        <v>43984.333333333336</v>
      </c>
      <c r="J526" s="2">
        <v>43984.833333333336</v>
      </c>
      <c r="K526" t="s">
        <v>2063</v>
      </c>
    </row>
    <row r="527" spans="1:11" x14ac:dyDescent="0.25">
      <c r="A527" t="s">
        <v>11</v>
      </c>
      <c r="B527" t="s">
        <v>284</v>
      </c>
      <c r="C527" t="str">
        <f>"2019-24289"</f>
        <v>2019-24289</v>
      </c>
      <c r="D527" t="s">
        <v>2064</v>
      </c>
      <c r="E527" t="s">
        <v>2065</v>
      </c>
      <c r="F527" t="s">
        <v>2066</v>
      </c>
      <c r="G527" t="s">
        <v>2067</v>
      </c>
      <c r="H527" s="1">
        <v>5174.3500000000004</v>
      </c>
      <c r="I527" s="2">
        <v>43984.333333333336</v>
      </c>
      <c r="J527" s="2">
        <v>43984.833333333336</v>
      </c>
      <c r="K527" t="s">
        <v>2068</v>
      </c>
    </row>
    <row r="528" spans="1:11" x14ac:dyDescent="0.25">
      <c r="A528" t="s">
        <v>11</v>
      </c>
      <c r="B528" t="s">
        <v>284</v>
      </c>
      <c r="C528" t="str">
        <f>"2019-57096"</f>
        <v>2019-57096</v>
      </c>
      <c r="D528" t="s">
        <v>2069</v>
      </c>
      <c r="E528" t="s">
        <v>2070</v>
      </c>
      <c r="F528" t="s">
        <v>2071</v>
      </c>
      <c r="G528" t="s">
        <v>2072</v>
      </c>
      <c r="H528" s="1">
        <v>6922.16</v>
      </c>
      <c r="I528" s="2">
        <v>43984.333333333336</v>
      </c>
      <c r="J528" s="2">
        <v>43984.833333333336</v>
      </c>
      <c r="K528" t="s">
        <v>2073</v>
      </c>
    </row>
    <row r="529" spans="1:11" x14ac:dyDescent="0.25">
      <c r="A529" t="s">
        <v>11</v>
      </c>
      <c r="B529" t="s">
        <v>284</v>
      </c>
      <c r="C529" t="str">
        <f>"2019-26047"</f>
        <v>2019-26047</v>
      </c>
      <c r="D529" t="s">
        <v>2074</v>
      </c>
      <c r="E529" t="s">
        <v>2075</v>
      </c>
      <c r="F529" t="s">
        <v>2076</v>
      </c>
      <c r="G529" t="s">
        <v>2077</v>
      </c>
      <c r="H529" s="1">
        <v>10957.66</v>
      </c>
      <c r="I529" s="2">
        <v>43984.333333333336</v>
      </c>
      <c r="J529" s="2">
        <v>43984.833333333336</v>
      </c>
      <c r="K529" t="s">
        <v>2078</v>
      </c>
    </row>
    <row r="530" spans="1:11" x14ac:dyDescent="0.25">
      <c r="A530" t="s">
        <v>11</v>
      </c>
      <c r="B530" t="s">
        <v>284</v>
      </c>
      <c r="C530" t="str">
        <f>"2019-57363"</f>
        <v>2019-57363</v>
      </c>
      <c r="D530" t="s">
        <v>2079</v>
      </c>
      <c r="E530" t="s">
        <v>2080</v>
      </c>
      <c r="F530" t="s">
        <v>2066</v>
      </c>
      <c r="G530" t="s">
        <v>2067</v>
      </c>
      <c r="H530" s="1">
        <v>12220.02</v>
      </c>
      <c r="I530" s="2">
        <v>43984.333333333336</v>
      </c>
      <c r="J530" s="2">
        <v>43984.833333333336</v>
      </c>
      <c r="K530" t="s">
        <v>2081</v>
      </c>
    </row>
    <row r="531" spans="1:11" x14ac:dyDescent="0.25">
      <c r="A531" t="s">
        <v>11</v>
      </c>
      <c r="B531" t="s">
        <v>12</v>
      </c>
      <c r="C531" t="str">
        <f>"0503487606A"</f>
        <v>0503487606A</v>
      </c>
      <c r="D531" t="s">
        <v>2082</v>
      </c>
      <c r="E531" t="s">
        <v>2083</v>
      </c>
      <c r="F531" t="s">
        <v>2084</v>
      </c>
      <c r="G531" t="s">
        <v>2085</v>
      </c>
      <c r="H531" s="1">
        <v>17734.12</v>
      </c>
      <c r="I531" s="2">
        <v>43984.333333333336</v>
      </c>
      <c r="J531" s="2">
        <v>43984.833333333336</v>
      </c>
      <c r="K531" t="s">
        <v>2086</v>
      </c>
    </row>
    <row r="532" spans="1:11" x14ac:dyDescent="0.25">
      <c r="A532" t="s">
        <v>11</v>
      </c>
      <c r="B532" t="s">
        <v>284</v>
      </c>
      <c r="C532" t="str">
        <f>"2019-63186"</f>
        <v>2019-63186</v>
      </c>
      <c r="D532" t="s">
        <v>2082</v>
      </c>
      <c r="E532" t="s">
        <v>2083</v>
      </c>
      <c r="F532" t="s">
        <v>2084</v>
      </c>
      <c r="G532" t="s">
        <v>2085</v>
      </c>
      <c r="H532" s="1">
        <v>48660.73</v>
      </c>
      <c r="I532" s="2">
        <v>43984.333333333336</v>
      </c>
      <c r="J532" s="2">
        <v>43984.833333333336</v>
      </c>
      <c r="K532" t="s">
        <v>2087</v>
      </c>
    </row>
    <row r="533" spans="1:11" x14ac:dyDescent="0.25">
      <c r="A533" t="s">
        <v>11</v>
      </c>
      <c r="B533" t="s">
        <v>284</v>
      </c>
      <c r="C533" t="str">
        <f>"2019-70694"</f>
        <v>2019-70694</v>
      </c>
      <c r="D533" t="s">
        <v>2088</v>
      </c>
      <c r="E533" t="s">
        <v>2089</v>
      </c>
      <c r="F533" t="s">
        <v>2090</v>
      </c>
      <c r="G533" t="s">
        <v>2091</v>
      </c>
      <c r="H533" s="1">
        <v>380.13</v>
      </c>
      <c r="I533" s="2">
        <v>43984.333333333336</v>
      </c>
      <c r="J533" s="2">
        <v>43984.833333333336</v>
      </c>
      <c r="K533" t="s">
        <v>2092</v>
      </c>
    </row>
    <row r="534" spans="1:11" x14ac:dyDescent="0.25">
      <c r="A534" t="s">
        <v>11</v>
      </c>
      <c r="B534" t="s">
        <v>284</v>
      </c>
      <c r="C534" t="str">
        <f>"2019-33484"</f>
        <v>2019-33484</v>
      </c>
      <c r="D534" t="s">
        <v>2088</v>
      </c>
      <c r="E534" t="s">
        <v>2093</v>
      </c>
      <c r="F534" t="s">
        <v>2094</v>
      </c>
      <c r="G534" t="s">
        <v>2095</v>
      </c>
      <c r="H534" s="1">
        <v>380.33</v>
      </c>
      <c r="I534" s="2">
        <v>43984.333333333336</v>
      </c>
      <c r="J534" s="2">
        <v>43984.833333333336</v>
      </c>
      <c r="K534" t="s">
        <v>2096</v>
      </c>
    </row>
    <row r="535" spans="1:11" x14ac:dyDescent="0.25">
      <c r="A535" t="s">
        <v>11</v>
      </c>
      <c r="B535" t="s">
        <v>284</v>
      </c>
      <c r="C535" t="str">
        <f>"2019-35940"</f>
        <v>2019-35940</v>
      </c>
      <c r="D535" t="s">
        <v>2097</v>
      </c>
      <c r="E535" t="s">
        <v>2098</v>
      </c>
      <c r="F535" t="s">
        <v>2099</v>
      </c>
      <c r="G535" t="s">
        <v>2100</v>
      </c>
      <c r="H535" s="1">
        <v>381.04</v>
      </c>
      <c r="I535" s="2">
        <v>43984.333333333336</v>
      </c>
      <c r="J535" s="2">
        <v>43984.833333333336</v>
      </c>
      <c r="K535" t="s">
        <v>2101</v>
      </c>
    </row>
    <row r="536" spans="1:11" x14ac:dyDescent="0.25">
      <c r="A536" t="s">
        <v>11</v>
      </c>
      <c r="B536" t="s">
        <v>284</v>
      </c>
      <c r="C536" t="str">
        <f>"2019-15454"</f>
        <v>2019-15454</v>
      </c>
      <c r="D536" t="s">
        <v>2097</v>
      </c>
      <c r="E536" t="s">
        <v>2102</v>
      </c>
      <c r="F536" t="s">
        <v>2103</v>
      </c>
      <c r="G536" t="s">
        <v>2104</v>
      </c>
      <c r="H536" s="1">
        <v>381.04</v>
      </c>
      <c r="I536" s="2">
        <v>43984.333333333336</v>
      </c>
      <c r="J536" s="2">
        <v>43984.833333333336</v>
      </c>
      <c r="K536" t="s">
        <v>2105</v>
      </c>
    </row>
    <row r="537" spans="1:11" x14ac:dyDescent="0.25">
      <c r="A537" t="s">
        <v>11</v>
      </c>
      <c r="B537" t="s">
        <v>284</v>
      </c>
      <c r="C537" t="str">
        <f>"2019-77169"</f>
        <v>2019-77169</v>
      </c>
      <c r="D537" t="s">
        <v>2106</v>
      </c>
      <c r="E537" t="s">
        <v>2107</v>
      </c>
      <c r="F537" t="s">
        <v>1201</v>
      </c>
      <c r="G537" t="s">
        <v>1202</v>
      </c>
      <c r="H537" s="1">
        <v>384.34</v>
      </c>
      <c r="I537" s="2">
        <v>43984.333333333336</v>
      </c>
      <c r="J537" s="2">
        <v>43984.833333333336</v>
      </c>
      <c r="K537" t="s">
        <v>2108</v>
      </c>
    </row>
    <row r="538" spans="1:11" x14ac:dyDescent="0.25">
      <c r="A538" t="s">
        <v>11</v>
      </c>
      <c r="B538" t="s">
        <v>12</v>
      </c>
      <c r="C538" t="str">
        <f>"0504554013A"</f>
        <v>0504554013A</v>
      </c>
      <c r="D538" t="s">
        <v>2088</v>
      </c>
      <c r="E538" t="s">
        <v>2109</v>
      </c>
      <c r="F538" t="s">
        <v>998</v>
      </c>
      <c r="G538" t="s">
        <v>16</v>
      </c>
      <c r="H538" s="1">
        <v>386.33</v>
      </c>
      <c r="I538" s="2">
        <v>43984.333333333336</v>
      </c>
      <c r="J538" s="2">
        <v>43984.833333333336</v>
      </c>
      <c r="K538" t="s">
        <v>2110</v>
      </c>
    </row>
    <row r="539" spans="1:11" x14ac:dyDescent="0.25">
      <c r="A539" t="s">
        <v>11</v>
      </c>
      <c r="B539" t="s">
        <v>284</v>
      </c>
      <c r="C539" t="str">
        <f>"2019-56014"</f>
        <v>2019-56014</v>
      </c>
      <c r="D539" t="s">
        <v>2111</v>
      </c>
      <c r="E539" t="s">
        <v>2112</v>
      </c>
      <c r="F539" t="s">
        <v>817</v>
      </c>
      <c r="G539" t="s">
        <v>1497</v>
      </c>
      <c r="H539" s="1">
        <v>392.3</v>
      </c>
      <c r="I539" s="2">
        <v>43984.333333333336</v>
      </c>
      <c r="J539" s="2">
        <v>43984.833333333336</v>
      </c>
      <c r="K539" t="s">
        <v>2113</v>
      </c>
    </row>
    <row r="540" spans="1:11" x14ac:dyDescent="0.25">
      <c r="A540" t="s">
        <v>11</v>
      </c>
      <c r="B540" t="s">
        <v>284</v>
      </c>
      <c r="C540" t="str">
        <f>"2019-23749"</f>
        <v>2019-23749</v>
      </c>
      <c r="D540" t="s">
        <v>2088</v>
      </c>
      <c r="E540" t="s">
        <v>2114</v>
      </c>
      <c r="F540" t="s">
        <v>302</v>
      </c>
      <c r="G540" t="s">
        <v>303</v>
      </c>
      <c r="H540" s="1">
        <v>392.79</v>
      </c>
      <c r="I540" s="2">
        <v>43984.333333333336</v>
      </c>
      <c r="J540" s="2">
        <v>43984.833333333336</v>
      </c>
      <c r="K540" t="s">
        <v>2115</v>
      </c>
    </row>
    <row r="541" spans="1:11" x14ac:dyDescent="0.25">
      <c r="A541" t="s">
        <v>11</v>
      </c>
      <c r="B541" t="s">
        <v>284</v>
      </c>
      <c r="C541" t="str">
        <f>"2019-61984"</f>
        <v>2019-61984</v>
      </c>
      <c r="D541" t="s">
        <v>2088</v>
      </c>
      <c r="E541" t="s">
        <v>2116</v>
      </c>
      <c r="F541" t="s">
        <v>2117</v>
      </c>
      <c r="G541" t="s">
        <v>2118</v>
      </c>
      <c r="H541" s="1">
        <v>392.8</v>
      </c>
      <c r="I541" s="2">
        <v>43984.333333333336</v>
      </c>
      <c r="J541" s="2">
        <v>43984.833333333336</v>
      </c>
      <c r="K541" t="s">
        <v>2119</v>
      </c>
    </row>
    <row r="542" spans="1:11" x14ac:dyDescent="0.25">
      <c r="A542" t="s">
        <v>11</v>
      </c>
      <c r="B542" t="s">
        <v>284</v>
      </c>
      <c r="C542" t="str">
        <f>"2019-32038"</f>
        <v>2019-32038</v>
      </c>
      <c r="D542" t="s">
        <v>2088</v>
      </c>
      <c r="E542" t="s">
        <v>2120</v>
      </c>
      <c r="F542" t="s">
        <v>2117</v>
      </c>
      <c r="G542" t="s">
        <v>2121</v>
      </c>
      <c r="H542" s="1">
        <v>392.87</v>
      </c>
      <c r="I542" s="2">
        <v>43984.333333333336</v>
      </c>
      <c r="J542" s="2">
        <v>43984.833333333336</v>
      </c>
      <c r="K542" t="s">
        <v>2122</v>
      </c>
    </row>
    <row r="543" spans="1:11" x14ac:dyDescent="0.25">
      <c r="A543" t="s">
        <v>11</v>
      </c>
      <c r="B543" t="s">
        <v>284</v>
      </c>
      <c r="C543" t="str">
        <f>"2019-66479"</f>
        <v>2019-66479</v>
      </c>
      <c r="D543" t="s">
        <v>2111</v>
      </c>
      <c r="E543" t="s">
        <v>2123</v>
      </c>
      <c r="F543" t="s">
        <v>2124</v>
      </c>
      <c r="G543" t="s">
        <v>2125</v>
      </c>
      <c r="H543" s="1">
        <v>393.17</v>
      </c>
      <c r="I543" s="2">
        <v>43984.333333333336</v>
      </c>
      <c r="J543" s="2">
        <v>43984.833333333336</v>
      </c>
      <c r="K543" t="s">
        <v>2126</v>
      </c>
    </row>
    <row r="544" spans="1:11" x14ac:dyDescent="0.25">
      <c r="A544" t="s">
        <v>11</v>
      </c>
      <c r="B544" t="s">
        <v>284</v>
      </c>
      <c r="C544" t="str">
        <f>"2019-53112"</f>
        <v>2019-53112</v>
      </c>
      <c r="D544" t="s">
        <v>2088</v>
      </c>
      <c r="E544" t="s">
        <v>2127</v>
      </c>
      <c r="F544" t="s">
        <v>2128</v>
      </c>
      <c r="G544" t="s">
        <v>2129</v>
      </c>
      <c r="H544" s="1">
        <v>397.98</v>
      </c>
      <c r="I544" s="2">
        <v>43984.333333333336</v>
      </c>
      <c r="J544" s="2">
        <v>43984.833333333336</v>
      </c>
      <c r="K544" t="s">
        <v>2130</v>
      </c>
    </row>
    <row r="545" spans="1:11" x14ac:dyDescent="0.25">
      <c r="A545" t="s">
        <v>11</v>
      </c>
      <c r="B545" t="s">
        <v>284</v>
      </c>
      <c r="C545" t="str">
        <f>"2019-82806"</f>
        <v>2019-82806</v>
      </c>
      <c r="D545" t="s">
        <v>2088</v>
      </c>
      <c r="E545" t="s">
        <v>2131</v>
      </c>
      <c r="F545" t="s">
        <v>2132</v>
      </c>
      <c r="G545" t="s">
        <v>2133</v>
      </c>
      <c r="H545" s="1">
        <v>403.82</v>
      </c>
      <c r="I545" s="2">
        <v>43984.333333333336</v>
      </c>
      <c r="J545" s="2">
        <v>43984.833333333336</v>
      </c>
      <c r="K545" t="s">
        <v>2134</v>
      </c>
    </row>
    <row r="546" spans="1:11" x14ac:dyDescent="0.25">
      <c r="A546" t="s">
        <v>11</v>
      </c>
      <c r="B546" t="s">
        <v>284</v>
      </c>
      <c r="C546" t="str">
        <f>"2019-22943"</f>
        <v>2019-22943</v>
      </c>
      <c r="D546" t="s">
        <v>2088</v>
      </c>
      <c r="E546" t="s">
        <v>2109</v>
      </c>
      <c r="F546" t="s">
        <v>998</v>
      </c>
      <c r="G546" t="s">
        <v>16</v>
      </c>
      <c r="H546" s="1">
        <v>409.67</v>
      </c>
      <c r="I546" s="2">
        <v>43984.333333333336</v>
      </c>
      <c r="J546" s="2">
        <v>43984.833333333336</v>
      </c>
      <c r="K546" t="s">
        <v>2135</v>
      </c>
    </row>
    <row r="547" spans="1:11" x14ac:dyDescent="0.25">
      <c r="A547" t="s">
        <v>11</v>
      </c>
      <c r="B547" t="s">
        <v>284</v>
      </c>
      <c r="C547" t="str">
        <f>"2019-37363"</f>
        <v>2019-37363</v>
      </c>
      <c r="D547" t="s">
        <v>2106</v>
      </c>
      <c r="E547" t="s">
        <v>2136</v>
      </c>
      <c r="F547" t="s">
        <v>2137</v>
      </c>
      <c r="G547" t="s">
        <v>2138</v>
      </c>
      <c r="H547" s="1">
        <v>415.4</v>
      </c>
      <c r="I547" s="2">
        <v>43984.333333333336</v>
      </c>
      <c r="J547" s="2">
        <v>43984.833333333336</v>
      </c>
      <c r="K547" t="s">
        <v>2139</v>
      </c>
    </row>
    <row r="548" spans="1:11" x14ac:dyDescent="0.25">
      <c r="A548" t="s">
        <v>11</v>
      </c>
      <c r="B548" t="s">
        <v>284</v>
      </c>
      <c r="C548" t="str">
        <f>"2019-62858"</f>
        <v>2019-62858</v>
      </c>
      <c r="D548" t="s">
        <v>2088</v>
      </c>
      <c r="E548" t="s">
        <v>2140</v>
      </c>
      <c r="F548" t="s">
        <v>678</v>
      </c>
      <c r="G548" t="s">
        <v>679</v>
      </c>
      <c r="H548" s="1">
        <v>415.83</v>
      </c>
      <c r="I548" s="2">
        <v>43984.333333333336</v>
      </c>
      <c r="J548" s="2">
        <v>43984.833333333336</v>
      </c>
      <c r="K548" t="s">
        <v>2141</v>
      </c>
    </row>
    <row r="549" spans="1:11" x14ac:dyDescent="0.25">
      <c r="A549" t="s">
        <v>11</v>
      </c>
      <c r="B549" t="s">
        <v>284</v>
      </c>
      <c r="C549" t="str">
        <f>"2019-49246"</f>
        <v>2019-49246</v>
      </c>
      <c r="D549" t="s">
        <v>2088</v>
      </c>
      <c r="E549" t="s">
        <v>2142</v>
      </c>
      <c r="F549" t="s">
        <v>1304</v>
      </c>
      <c r="G549" t="s">
        <v>1305</v>
      </c>
      <c r="H549" s="1">
        <v>416.09</v>
      </c>
      <c r="I549" s="2">
        <v>43984.333333333336</v>
      </c>
      <c r="J549" s="2">
        <v>43984.833333333336</v>
      </c>
      <c r="K549" t="s">
        <v>2143</v>
      </c>
    </row>
    <row r="550" spans="1:11" x14ac:dyDescent="0.25">
      <c r="A550" t="s">
        <v>11</v>
      </c>
      <c r="B550" t="s">
        <v>284</v>
      </c>
      <c r="C550" t="str">
        <f>"2019-87211"</f>
        <v>2019-87211</v>
      </c>
      <c r="D550" t="s">
        <v>2106</v>
      </c>
      <c r="E550" t="s">
        <v>2144</v>
      </c>
      <c r="F550" t="s">
        <v>1088</v>
      </c>
      <c r="G550" t="s">
        <v>377</v>
      </c>
      <c r="H550" s="1">
        <v>426.94</v>
      </c>
      <c r="I550" s="2">
        <v>43984.333333333336</v>
      </c>
      <c r="J550" s="2">
        <v>43984.833333333336</v>
      </c>
      <c r="K550" t="s">
        <v>2145</v>
      </c>
    </row>
    <row r="551" spans="1:11" x14ac:dyDescent="0.25">
      <c r="A551" t="s">
        <v>11</v>
      </c>
      <c r="B551" t="s">
        <v>284</v>
      </c>
      <c r="C551" t="str">
        <f>"2019-77840"</f>
        <v>2019-77840</v>
      </c>
      <c r="D551" t="s">
        <v>2106</v>
      </c>
      <c r="E551" t="s">
        <v>2146</v>
      </c>
      <c r="F551" t="s">
        <v>302</v>
      </c>
      <c r="G551" t="s">
        <v>303</v>
      </c>
      <c r="H551" s="1">
        <v>430.02</v>
      </c>
      <c r="I551" s="2">
        <v>43984.333333333336</v>
      </c>
      <c r="J551" s="2">
        <v>43984.833333333336</v>
      </c>
      <c r="K551" t="s">
        <v>2147</v>
      </c>
    </row>
    <row r="552" spans="1:11" x14ac:dyDescent="0.25">
      <c r="A552" t="s">
        <v>11</v>
      </c>
      <c r="B552" t="s">
        <v>284</v>
      </c>
      <c r="C552" t="str">
        <f>"2019-53669"</f>
        <v>2019-53669</v>
      </c>
      <c r="D552" t="s">
        <v>2088</v>
      </c>
      <c r="E552" t="s">
        <v>2148</v>
      </c>
      <c r="F552" t="s">
        <v>2149</v>
      </c>
      <c r="G552" t="s">
        <v>2150</v>
      </c>
      <c r="H552" s="1">
        <v>436.63</v>
      </c>
      <c r="I552" s="2">
        <v>43984.333333333336</v>
      </c>
      <c r="J552" s="2">
        <v>43984.833333333336</v>
      </c>
      <c r="K552" t="s">
        <v>2151</v>
      </c>
    </row>
    <row r="553" spans="1:11" x14ac:dyDescent="0.25">
      <c r="A553" t="s">
        <v>11</v>
      </c>
      <c r="B553" t="s">
        <v>284</v>
      </c>
      <c r="C553" t="str">
        <f>"2019-83456"</f>
        <v>2019-83456</v>
      </c>
      <c r="D553" t="s">
        <v>2088</v>
      </c>
      <c r="E553" t="s">
        <v>2152</v>
      </c>
      <c r="F553" t="s">
        <v>2153</v>
      </c>
      <c r="G553" t="s">
        <v>2154</v>
      </c>
      <c r="H553" s="1">
        <v>447.92</v>
      </c>
      <c r="I553" s="2">
        <v>43984.333333333336</v>
      </c>
      <c r="J553" s="2">
        <v>43984.833333333336</v>
      </c>
      <c r="K553" t="s">
        <v>2155</v>
      </c>
    </row>
    <row r="554" spans="1:11" x14ac:dyDescent="0.25">
      <c r="A554" t="s">
        <v>11</v>
      </c>
      <c r="B554" t="s">
        <v>284</v>
      </c>
      <c r="C554" t="str">
        <f>"2019-20866"</f>
        <v>2019-20866</v>
      </c>
      <c r="D554" t="s">
        <v>2088</v>
      </c>
      <c r="E554" t="s">
        <v>2156</v>
      </c>
      <c r="F554" t="s">
        <v>2157</v>
      </c>
      <c r="G554" t="s">
        <v>2158</v>
      </c>
      <c r="H554" s="1">
        <v>460.43</v>
      </c>
      <c r="I554" s="2">
        <v>43984.333333333336</v>
      </c>
      <c r="J554" s="2">
        <v>43984.833333333336</v>
      </c>
      <c r="K554" t="s">
        <v>2159</v>
      </c>
    </row>
    <row r="555" spans="1:11" x14ac:dyDescent="0.25">
      <c r="A555" t="s">
        <v>11</v>
      </c>
      <c r="B555" t="s">
        <v>284</v>
      </c>
      <c r="C555" t="str">
        <f>"2019-48646"</f>
        <v>2019-48646</v>
      </c>
      <c r="D555" t="s">
        <v>2160</v>
      </c>
      <c r="E555" t="s">
        <v>2161</v>
      </c>
      <c r="F555" t="s">
        <v>2090</v>
      </c>
      <c r="G555" t="s">
        <v>2091</v>
      </c>
      <c r="H555" s="1">
        <v>462.93</v>
      </c>
      <c r="I555" s="2">
        <v>43984.333333333336</v>
      </c>
      <c r="J555" s="2">
        <v>43984.833333333336</v>
      </c>
      <c r="K555" t="s">
        <v>2162</v>
      </c>
    </row>
    <row r="556" spans="1:11" x14ac:dyDescent="0.25">
      <c r="A556" t="s">
        <v>11</v>
      </c>
      <c r="B556" t="s">
        <v>284</v>
      </c>
      <c r="C556" t="str">
        <f>"2019-36291"</f>
        <v>2019-36291</v>
      </c>
      <c r="D556" t="s">
        <v>2111</v>
      </c>
      <c r="E556" t="s">
        <v>2163</v>
      </c>
      <c r="F556" t="s">
        <v>2164</v>
      </c>
      <c r="G556" t="s">
        <v>1025</v>
      </c>
      <c r="H556" s="1">
        <v>484.19</v>
      </c>
      <c r="I556" s="2">
        <v>43984.333333333336</v>
      </c>
      <c r="J556" s="2">
        <v>43984.833333333336</v>
      </c>
      <c r="K556" t="s">
        <v>2165</v>
      </c>
    </row>
    <row r="557" spans="1:11" x14ac:dyDescent="0.25">
      <c r="A557" t="s">
        <v>11</v>
      </c>
      <c r="B557" t="s">
        <v>284</v>
      </c>
      <c r="C557" t="str">
        <f>"2019-76015"</f>
        <v>2019-76015</v>
      </c>
      <c r="D557" t="s">
        <v>2111</v>
      </c>
      <c r="E557" t="s">
        <v>2166</v>
      </c>
      <c r="F557" t="s">
        <v>2167</v>
      </c>
      <c r="G557" t="s">
        <v>2168</v>
      </c>
      <c r="H557" s="1">
        <v>486.16</v>
      </c>
      <c r="I557" s="2">
        <v>43984.333333333336</v>
      </c>
      <c r="J557" s="2">
        <v>43984.833333333336</v>
      </c>
      <c r="K557" t="s">
        <v>2169</v>
      </c>
    </row>
    <row r="558" spans="1:11" x14ac:dyDescent="0.25">
      <c r="A558" t="s">
        <v>11</v>
      </c>
      <c r="B558" t="s">
        <v>284</v>
      </c>
      <c r="C558" t="str">
        <f>"2019-76962"</f>
        <v>2019-76962</v>
      </c>
      <c r="D558" t="s">
        <v>2111</v>
      </c>
      <c r="E558" t="s">
        <v>2170</v>
      </c>
      <c r="F558" t="s">
        <v>2171</v>
      </c>
      <c r="G558" t="s">
        <v>2172</v>
      </c>
      <c r="H558" s="1">
        <v>505.88</v>
      </c>
      <c r="I558" s="2">
        <v>43984.333333333336</v>
      </c>
      <c r="J558" s="2">
        <v>43984.833333333336</v>
      </c>
      <c r="K558" t="s">
        <v>2173</v>
      </c>
    </row>
    <row r="559" spans="1:11" x14ac:dyDescent="0.25">
      <c r="A559" t="s">
        <v>11</v>
      </c>
      <c r="B559" t="s">
        <v>284</v>
      </c>
      <c r="C559" t="str">
        <f>"2019-74128"</f>
        <v>2019-74128</v>
      </c>
      <c r="D559" t="s">
        <v>2088</v>
      </c>
      <c r="E559" t="s">
        <v>2174</v>
      </c>
      <c r="F559" t="s">
        <v>678</v>
      </c>
      <c r="G559" t="s">
        <v>679</v>
      </c>
      <c r="H559" s="1">
        <v>511.62</v>
      </c>
      <c r="I559" s="2">
        <v>43984.333333333336</v>
      </c>
      <c r="J559" s="2">
        <v>43984.833333333336</v>
      </c>
      <c r="K559" t="s">
        <v>2175</v>
      </c>
    </row>
    <row r="560" spans="1:11" x14ac:dyDescent="0.25">
      <c r="A560" t="s">
        <v>11</v>
      </c>
      <c r="B560" t="s">
        <v>284</v>
      </c>
      <c r="C560" t="str">
        <f>"2019-70790"</f>
        <v>2019-70790</v>
      </c>
      <c r="D560" t="s">
        <v>2088</v>
      </c>
      <c r="E560" t="s">
        <v>2176</v>
      </c>
      <c r="F560" t="s">
        <v>473</v>
      </c>
      <c r="G560" t="s">
        <v>474</v>
      </c>
      <c r="H560" s="1">
        <v>537.92999999999995</v>
      </c>
      <c r="I560" s="2">
        <v>43984.333333333336</v>
      </c>
      <c r="J560" s="2">
        <v>43984.833333333336</v>
      </c>
      <c r="K560" t="s">
        <v>2177</v>
      </c>
    </row>
    <row r="561" spans="1:11" x14ac:dyDescent="0.25">
      <c r="A561" t="s">
        <v>11</v>
      </c>
      <c r="B561" t="s">
        <v>284</v>
      </c>
      <c r="C561" t="str">
        <f>"2019-74555"</f>
        <v>2019-74555</v>
      </c>
      <c r="D561" t="s">
        <v>2088</v>
      </c>
      <c r="E561" t="s">
        <v>2178</v>
      </c>
      <c r="F561" t="s">
        <v>2179</v>
      </c>
      <c r="G561" t="s">
        <v>2180</v>
      </c>
      <c r="H561" s="1">
        <v>584.25</v>
      </c>
      <c r="I561" s="2">
        <v>43984.333333333336</v>
      </c>
      <c r="J561" s="2">
        <v>43984.833333333336</v>
      </c>
      <c r="K561" t="s">
        <v>2181</v>
      </c>
    </row>
    <row r="562" spans="1:11" x14ac:dyDescent="0.25">
      <c r="A562" t="s">
        <v>11</v>
      </c>
      <c r="B562" t="s">
        <v>284</v>
      </c>
      <c r="C562" t="str">
        <f>"2019-20820"</f>
        <v>2019-20820</v>
      </c>
      <c r="D562" t="s">
        <v>2088</v>
      </c>
      <c r="E562" t="s">
        <v>2182</v>
      </c>
      <c r="F562" t="s">
        <v>2183</v>
      </c>
      <c r="G562" t="s">
        <v>2184</v>
      </c>
      <c r="H562" s="1">
        <v>613.37</v>
      </c>
      <c r="I562" s="2">
        <v>43984.333333333336</v>
      </c>
      <c r="J562" s="2">
        <v>43984.833333333336</v>
      </c>
      <c r="K562" t="s">
        <v>2185</v>
      </c>
    </row>
    <row r="563" spans="1:11" x14ac:dyDescent="0.25">
      <c r="A563" t="s">
        <v>11</v>
      </c>
      <c r="B563" t="s">
        <v>284</v>
      </c>
      <c r="C563" t="str">
        <f>"2019-56552"</f>
        <v>2019-56552</v>
      </c>
      <c r="D563" t="s">
        <v>2111</v>
      </c>
      <c r="E563" t="s">
        <v>2186</v>
      </c>
      <c r="F563" t="s">
        <v>381</v>
      </c>
      <c r="G563" t="s">
        <v>2187</v>
      </c>
      <c r="H563" s="1">
        <v>621.16999999999996</v>
      </c>
      <c r="I563" s="2">
        <v>43984.333333333336</v>
      </c>
      <c r="J563" s="2">
        <v>43984.833333333336</v>
      </c>
      <c r="K563" t="s">
        <v>2188</v>
      </c>
    </row>
    <row r="564" spans="1:11" x14ac:dyDescent="0.25">
      <c r="A564" t="s">
        <v>11</v>
      </c>
      <c r="B564" t="s">
        <v>284</v>
      </c>
      <c r="C564" t="str">
        <f>"2019-38017"</f>
        <v>2019-38017</v>
      </c>
      <c r="D564" t="s">
        <v>2160</v>
      </c>
      <c r="E564" t="s">
        <v>2189</v>
      </c>
      <c r="F564" t="s">
        <v>2190</v>
      </c>
      <c r="G564" t="s">
        <v>2191</v>
      </c>
      <c r="H564" s="1">
        <v>707.37</v>
      </c>
      <c r="I564" s="2">
        <v>43984.333333333336</v>
      </c>
      <c r="J564" s="2">
        <v>43984.833333333336</v>
      </c>
      <c r="K564" t="s">
        <v>2192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auctions (45)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iambeautiful60</cp:lastModifiedBy>
  <dcterms:created xsi:type="dcterms:W3CDTF">2020-05-13T21:50:52Z</dcterms:created>
  <dcterms:modified xsi:type="dcterms:W3CDTF">2020-05-13T21:50:52Z</dcterms:modified>
</cp:coreProperties>
</file>